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mhuisman\Downloads\"/>
    </mc:Choice>
  </mc:AlternateContent>
  <xr:revisionPtr revIDLastSave="0" documentId="8_{EECE0885-B7C5-4B92-B812-19785295D1AD}" xr6:coauthVersionLast="47" xr6:coauthVersionMax="47" xr10:uidLastSave="{00000000-0000-0000-0000-000000000000}"/>
  <bookViews>
    <workbookView xWindow="28680" yWindow="-45" windowWidth="29040" windowHeight="15720" xr2:uid="{9C2A2D5D-D9B4-48DF-84DA-62FA83D4A263}"/>
  </bookViews>
  <sheets>
    <sheet name="Rekentool" sheetId="2" r:id="rId1"/>
    <sheet name="Rekentool (bulk)" sheetId="6" r:id="rId2"/>
    <sheet name="Match Loontabel" sheetId="7" state="hidden" r:id="rId3"/>
    <sheet name="Oude Loontabel" sheetId="4" r:id="rId4"/>
    <sheet name="Nieuwe Loontabel" sheetId="3" r:id="rId5"/>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3" l="1"/>
  <c r="J20" i="3" s="1"/>
  <c r="J21" i="3" s="1"/>
  <c r="J22" i="3" s="1"/>
  <c r="J18" i="3"/>
  <c r="I18" i="3"/>
  <c r="I19" i="3" s="1"/>
  <c r="I20" i="3" s="1"/>
  <c r="I21" i="3" s="1"/>
  <c r="I22" i="3" s="1"/>
  <c r="H18" i="3"/>
  <c r="H19" i="3" s="1"/>
  <c r="H20" i="3" s="1"/>
  <c r="H21" i="3" s="1"/>
  <c r="H22" i="3" s="1"/>
  <c r="G17" i="3"/>
  <c r="G18" i="3" s="1"/>
  <c r="G19" i="3" s="1"/>
  <c r="G20" i="3" s="1"/>
  <c r="G21" i="3" s="1"/>
  <c r="F17" i="3"/>
  <c r="F18" i="3" s="1"/>
  <c r="F19" i="3" s="1"/>
  <c r="F20" i="3" s="1"/>
  <c r="F16" i="3"/>
  <c r="E14" i="3"/>
  <c r="E15" i="3" s="1"/>
  <c r="E16" i="3" s="1"/>
  <c r="E17" i="3" s="1"/>
  <c r="D13" i="3"/>
  <c r="D14" i="3" s="1"/>
  <c r="D15" i="3" s="1"/>
  <c r="B13" i="3"/>
  <c r="B14" i="3" s="1"/>
  <c r="C12" i="3"/>
  <c r="C13" i="3" s="1"/>
  <c r="C14" i="3" s="1"/>
  <c r="B12" i="3"/>
  <c r="B3" i="7" l="1"/>
  <c r="C3" i="7"/>
  <c r="D3" i="7"/>
  <c r="E3" i="7"/>
  <c r="F3" i="7"/>
  <c r="G3" i="7"/>
  <c r="H3" i="7"/>
  <c r="I3" i="7"/>
  <c r="J3" i="7"/>
  <c r="B4" i="7"/>
  <c r="C4" i="7"/>
  <c r="D4" i="7"/>
  <c r="E4" i="7"/>
  <c r="F4" i="7"/>
  <c r="G4" i="7"/>
  <c r="H4" i="7"/>
  <c r="I4" i="7"/>
  <c r="J4" i="7"/>
  <c r="B5" i="7"/>
  <c r="C5" i="7"/>
  <c r="D5" i="7"/>
  <c r="E5" i="7"/>
  <c r="F5" i="7"/>
  <c r="G5" i="7"/>
  <c r="H5" i="7"/>
  <c r="I5" i="7"/>
  <c r="J5" i="7"/>
  <c r="B6" i="7"/>
  <c r="C6" i="7"/>
  <c r="D6" i="7"/>
  <c r="E6" i="7"/>
  <c r="F6" i="7"/>
  <c r="G6" i="7"/>
  <c r="H6" i="7"/>
  <c r="I6" i="7"/>
  <c r="J6" i="7"/>
  <c r="B7" i="7"/>
  <c r="C7" i="7"/>
  <c r="D7" i="7"/>
  <c r="E7" i="7"/>
  <c r="F7" i="7"/>
  <c r="G7" i="7"/>
  <c r="H7" i="7"/>
  <c r="I7" i="7"/>
  <c r="J7" i="7"/>
  <c r="B8" i="7"/>
  <c r="C8" i="7"/>
  <c r="D8" i="7"/>
  <c r="E8" i="7"/>
  <c r="F8" i="7"/>
  <c r="G8" i="7"/>
  <c r="H8" i="7"/>
  <c r="I8" i="7"/>
  <c r="J8" i="7"/>
  <c r="B9" i="7"/>
  <c r="C9" i="7"/>
  <c r="D9" i="7"/>
  <c r="E9" i="7"/>
  <c r="F9" i="7"/>
  <c r="G9" i="7"/>
  <c r="H9" i="7"/>
  <c r="I9" i="7"/>
  <c r="J9" i="7"/>
  <c r="B10" i="7"/>
  <c r="C10" i="7"/>
  <c r="D10" i="7"/>
  <c r="E10" i="7"/>
  <c r="F10" i="7"/>
  <c r="G10" i="7"/>
  <c r="H10" i="7"/>
  <c r="I10" i="7"/>
  <c r="J10" i="7"/>
  <c r="B11" i="7"/>
  <c r="C11" i="7"/>
  <c r="D11" i="7"/>
  <c r="E11" i="7"/>
  <c r="F11" i="7"/>
  <c r="G11" i="7"/>
  <c r="H11" i="7"/>
  <c r="I11" i="7"/>
  <c r="J11" i="7"/>
  <c r="B12" i="7"/>
  <c r="C12" i="7"/>
  <c r="D12" i="7"/>
  <c r="E12" i="7"/>
  <c r="F12" i="7"/>
  <c r="G12" i="7"/>
  <c r="H12" i="7"/>
  <c r="I12" i="7"/>
  <c r="J12" i="7"/>
  <c r="B13" i="7"/>
  <c r="C13" i="7"/>
  <c r="D13" i="7"/>
  <c r="E13" i="7"/>
  <c r="F13" i="7"/>
  <c r="G13" i="7"/>
  <c r="H13" i="7"/>
  <c r="I13" i="7"/>
  <c r="J13" i="7"/>
  <c r="B14" i="7"/>
  <c r="C14" i="7"/>
  <c r="D14" i="7"/>
  <c r="E14" i="7"/>
  <c r="F14" i="7"/>
  <c r="G14" i="7"/>
  <c r="H14" i="7"/>
  <c r="I14" i="7"/>
  <c r="J14" i="7"/>
  <c r="B15" i="7"/>
  <c r="C15" i="7"/>
  <c r="D15" i="7"/>
  <c r="E15" i="7"/>
  <c r="F15" i="7"/>
  <c r="G15" i="7"/>
  <c r="H15" i="7"/>
  <c r="I15" i="7"/>
  <c r="J15" i="7"/>
  <c r="B16" i="7"/>
  <c r="C16" i="7"/>
  <c r="D16" i="7"/>
  <c r="E16" i="7"/>
  <c r="F16" i="7"/>
  <c r="G16" i="7"/>
  <c r="H16" i="7"/>
  <c r="I16" i="7"/>
  <c r="J16" i="7"/>
  <c r="B17" i="7"/>
  <c r="C17" i="7"/>
  <c r="D17" i="7"/>
  <c r="E17" i="7"/>
  <c r="F17" i="7"/>
  <c r="G17" i="7"/>
  <c r="H17" i="7"/>
  <c r="I17" i="7"/>
  <c r="J17" i="7"/>
  <c r="B18" i="7"/>
  <c r="C18" i="7"/>
  <c r="D18" i="7"/>
  <c r="E18" i="7"/>
  <c r="F18" i="7"/>
  <c r="G18" i="7"/>
  <c r="H18" i="7"/>
  <c r="I18" i="7"/>
  <c r="J18" i="7"/>
  <c r="B19" i="7"/>
  <c r="C19" i="7"/>
  <c r="D19" i="7"/>
  <c r="E19" i="7"/>
  <c r="F19" i="7"/>
  <c r="G19" i="7"/>
  <c r="H19" i="7"/>
  <c r="I19" i="7"/>
  <c r="J19" i="7"/>
  <c r="B20" i="7"/>
  <c r="C20" i="7"/>
  <c r="D20" i="7"/>
  <c r="E20" i="7"/>
  <c r="F20" i="7"/>
  <c r="G20" i="7"/>
  <c r="H20" i="7"/>
  <c r="I20" i="7"/>
  <c r="J20" i="7"/>
  <c r="B21" i="7"/>
  <c r="C21" i="7"/>
  <c r="D21" i="7"/>
  <c r="E21" i="7"/>
  <c r="F21" i="7"/>
  <c r="G21" i="7"/>
  <c r="H21" i="7"/>
  <c r="I21" i="7"/>
  <c r="J21" i="7"/>
  <c r="B22" i="7"/>
  <c r="C22" i="7"/>
  <c r="D22" i="7"/>
  <c r="E22" i="7"/>
  <c r="F22" i="7"/>
  <c r="G22" i="7"/>
  <c r="H22" i="7"/>
  <c r="I22" i="7"/>
  <c r="J22" i="7"/>
  <c r="B23" i="7"/>
  <c r="C23" i="7"/>
  <c r="D23" i="7"/>
  <c r="E23" i="7"/>
  <c r="F23" i="7"/>
  <c r="G23" i="7"/>
  <c r="H23" i="7"/>
  <c r="I23" i="7"/>
  <c r="J23" i="7"/>
  <c r="C2" i="7"/>
  <c r="D2" i="7"/>
  <c r="E2" i="7"/>
  <c r="F2" i="7"/>
  <c r="G2" i="7"/>
  <c r="H2" i="7"/>
  <c r="I2" i="7"/>
  <c r="J2" i="7"/>
  <c r="B2" i="7"/>
  <c r="E8" i="6"/>
  <c r="E7" i="6"/>
  <c r="E5" i="6"/>
  <c r="E3" i="6"/>
  <c r="E4" i="6"/>
  <c r="G4" i="6"/>
  <c r="G6" i="6"/>
  <c r="G8" i="6"/>
  <c r="E6" i="6"/>
  <c r="G10" i="6"/>
  <c r="E9" i="6"/>
  <c r="G9" i="6"/>
  <c r="E10" i="6"/>
  <c r="F9" i="6"/>
  <c r="F8" i="6"/>
  <c r="G3" i="6"/>
  <c r="G5" i="6"/>
  <c r="F3" i="6"/>
  <c r="F7" i="6"/>
  <c r="F4" i="6"/>
  <c r="F10" i="6"/>
  <c r="G7" i="6"/>
  <c r="F6" i="6"/>
  <c r="F5" i="6"/>
  <c r="K5" i="6" l="1"/>
  <c r="K4" i="6"/>
  <c r="K6" i="6"/>
  <c r="K7" i="6"/>
  <c r="K8" i="6"/>
  <c r="K3" i="6"/>
  <c r="K9" i="6"/>
  <c r="K10" i="6"/>
  <c r="B2" i="6"/>
  <c r="B3" i="6"/>
  <c r="B4" i="6"/>
  <c r="B5" i="6"/>
  <c r="B6" i="6"/>
  <c r="B7" i="6"/>
  <c r="B8" i="6"/>
  <c r="B9" i="6"/>
  <c r="B10" i="6"/>
  <c r="C28" i="2"/>
  <c r="F2" i="6"/>
  <c r="I9" i="6" a="1"/>
  <c r="F23" i="2"/>
  <c r="I4" i="6" a="1"/>
  <c r="G23" i="2"/>
  <c r="H8" i="6" a="1"/>
  <c r="I3" i="6" a="1"/>
  <c r="H5" i="6" a="1"/>
  <c r="H10" i="6" a="1"/>
  <c r="I6" i="6" a="1"/>
  <c r="H9" i="6" a="1"/>
  <c r="I8" i="6" a="1"/>
  <c r="H7" i="6" a="1"/>
  <c r="E2" i="6"/>
  <c r="H6" i="6" a="1"/>
  <c r="H4" i="6" a="1"/>
  <c r="H3" i="6" a="1"/>
  <c r="I10" i="6" a="1"/>
  <c r="I7" i="6" a="1"/>
  <c r="G2" i="6"/>
  <c r="I5" i="6" a="1"/>
  <c r="H5" i="6" l="1"/>
  <c r="I5" i="6"/>
  <c r="I7" i="6"/>
  <c r="H7" i="6"/>
  <c r="I6" i="6"/>
  <c r="I3" i="6"/>
  <c r="I10" i="6"/>
  <c r="I9" i="6"/>
  <c r="I4" i="6"/>
  <c r="I8" i="6"/>
  <c r="H9" i="6"/>
  <c r="H8" i="6"/>
  <c r="H6" i="6"/>
  <c r="H4" i="6"/>
  <c r="H10" i="6"/>
  <c r="H3" i="6"/>
  <c r="K2" i="6"/>
  <c r="G28" i="2"/>
  <c r="L5" i="6" a="1"/>
  <c r="J7" i="6" a="1"/>
  <c r="D28" i="2" a="1"/>
  <c r="J5" i="6" a="1"/>
  <c r="I2" i="6" a="1"/>
  <c r="E28" i="2" a="1"/>
  <c r="H2" i="6" a="1"/>
  <c r="L7" i="6" a="1"/>
  <c r="J5" i="6" l="1"/>
  <c r="L7" i="6"/>
  <c r="L5" i="6"/>
  <c r="J7" i="6"/>
  <c r="I2" i="6"/>
  <c r="H2" i="6"/>
  <c r="D28" i="2"/>
  <c r="E28" i="2"/>
  <c r="J10" i="6" a="1"/>
  <c r="J4" i="6" a="1"/>
  <c r="J9" i="6" a="1"/>
  <c r="L4" i="6" a="1"/>
  <c r="J3" i="6" a="1"/>
  <c r="L8" i="6" a="1"/>
  <c r="L6" i="6" a="1"/>
  <c r="L9" i="6" a="1"/>
  <c r="L3" i="6" a="1"/>
  <c r="L10" i="6" a="1"/>
  <c r="J6" i="6" a="1"/>
  <c r="J8" i="6" a="1"/>
  <c r="F28" i="2" a="1"/>
  <c r="J6" i="6" l="1"/>
  <c r="L6" i="6"/>
  <c r="L10" i="6"/>
  <c r="L8" i="6"/>
  <c r="L4" i="6"/>
  <c r="J9" i="6"/>
  <c r="J4" i="6"/>
  <c r="J10" i="6"/>
  <c r="J3" i="6"/>
  <c r="J8" i="6"/>
  <c r="L3" i="6"/>
  <c r="L9" i="6"/>
  <c r="M9" i="6" s="1"/>
  <c r="F28" i="2"/>
  <c r="M7" i="6"/>
  <c r="M5" i="6"/>
  <c r="L2" i="6" a="1"/>
  <c r="G31" i="2" a="1"/>
  <c r="J2" i="6" a="1"/>
  <c r="M3" i="6" l="1"/>
  <c r="M8" i="6"/>
  <c r="M4" i="6"/>
  <c r="L2" i="6"/>
  <c r="M2" i="6" s="1"/>
  <c r="M6" i="6"/>
  <c r="M10" i="6"/>
  <c r="G31" i="2"/>
  <c r="G32" i="2" s="1"/>
  <c r="J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<sst xmlns="http://schemas.openxmlformats.org/spreadsheetml/2006/main" count="110" uniqueCount="60">
  <si>
    <t>Tuincentra</t>
  </si>
  <si>
    <t xml:space="preserve"> -rekentool t.b.v. vaststellen nieuw uurloon medewerkers-</t>
  </si>
  <si>
    <t>Veld met uitkomst, hier kan je niks invullen</t>
  </si>
  <si>
    <t>Invulveld voor ondernemer of werknemer</t>
  </si>
  <si>
    <t xml:space="preserve">rekent vanuit een uurloon, kan er een klein afrondingsverschil ontstaan. De bedragen opgenomen in de </t>
  </si>
  <si>
    <t>cao en loontabellen zijn leidend.</t>
  </si>
  <si>
    <t>Stap 1</t>
  </si>
  <si>
    <t>Naam medewerker</t>
  </si>
  <si>
    <t>Stap 2</t>
  </si>
  <si>
    <t>Stap 3</t>
  </si>
  <si>
    <t>Huidige functiegroep</t>
  </si>
  <si>
    <t>B</t>
  </si>
  <si>
    <t>Stap 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</si>
  <si>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</si>
  <si>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</si>
  <si>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</si>
  <si>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</si>
  <si>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</si>
  <si>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</si>
  <si>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</si>
  <si>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</si>
  <si>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</si>
  <si>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</si>
  <si>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</si>
  <si>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Tijdelijke waardes!!!</t>
  </si>
  <si>
    <t>Stap 7</t>
  </si>
  <si>
    <t>Stijging uurloon in % ten opzichte van CAO per 1 januari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</si>
  <si>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</si>
  <si>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</si>
  <si>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</si>
  <si>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</si>
  <si>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</si>
  <si>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</si>
  <si>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</si>
  <si>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</si>
  <si>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</si>
  <si>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</si>
  <si>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</si>
  <si>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A</t>
  </si>
  <si>
    <t>C</t>
  </si>
  <si>
    <t>D</t>
  </si>
  <si>
    <t>E</t>
  </si>
  <si>
    <t>F</t>
  </si>
  <si>
    <t>G</t>
  </si>
  <si>
    <t>H</t>
  </si>
  <si>
    <t>I</t>
  </si>
  <si>
    <t>15 jaar</t>
  </si>
  <si>
    <t>16 jaar</t>
  </si>
  <si>
    <t>17 jaar</t>
  </si>
  <si>
    <t>18 jaar</t>
  </si>
  <si>
    <t>19 jaar</t>
  </si>
  <si>
    <t>20 jaar</t>
  </si>
  <si>
    <t>21 jaar / 0</t>
  </si>
  <si>
    <t>Rekentool Retail Non-Food cao-verhoging januari 2026</t>
  </si>
  <si>
    <t>Uurloon op 31-12-2025</t>
  </si>
  <si>
    <t xml:space="preserve">Deze tool is een hulpmiddel om de loonsverhoging per 1 januari 2026 te berekenen. Omdat de rekentool </t>
  </si>
  <si>
    <t xml:space="preserve"> 1-1-2026 indien van 
toepassing</t>
  </si>
  <si>
    <t>Nieuw uurloon per 1-1-2026</t>
  </si>
  <si>
    <t>INretail, december 2026</t>
  </si>
  <si>
    <r>
      <rPr>
        <b/>
        <sz val="20"/>
        <color rgb="FF151515"/>
        <rFont val="Calibri"/>
      </rPr>
      <t xml:space="preserve">Toelichting INretail tool cao-verhoging januari 2026
</t>
    </r>
    <r>
      <rPr>
        <sz val="11"/>
        <color rgb="FF151515"/>
        <rFont val="Calibri"/>
      </rPr>
      <t xml:space="preserve">
Per 1 januari 2026 is een nieuwe cao Retail non-food overeengekomen. In de cao is het volgende afgesproken voor wat betreft de loonsverhoging per 1 januari 2026:
Op 1 januari 2026 worden de schaallonen en de lonen van de medewerkers die niet meer verdienen dan het oude maximum van hun schaal, verhoogd met het indexatiepercentage waarmee het Wettelijk Minimumloon wordt verhoogd (2,15%).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cao-loonsverhogingen in 2026 mogen worden verrekend met de daaropvolgende cao-loonsverhoging. Dit geldt ook voor gegeven loonsverhogingen die hoger zijn dan de cao-verhogingen.
</t>
    </r>
    <r>
      <rPr>
        <u/>
        <sz val="11"/>
        <color rgb="FF151515"/>
        <rFont val="Calibri"/>
      </rPr>
      <t xml:space="preserve">Twee voorbeelden:
</t>
    </r>
    <r>
      <rPr>
        <b/>
        <sz val="11"/>
        <color rgb="FF151515"/>
        <rFont val="Calibri"/>
      </rPr>
      <t>Een medewerker</t>
    </r>
    <r>
      <rPr>
        <sz val="11"/>
        <color rgb="FF151515"/>
        <rFont val="Calibri"/>
      </rPr>
      <t xml:space="preserve"> in schaal A/B van de loontabel Tuincentra verdient op 31-12-2025 € 14,69 bruto per uur. Het loon bevindt zich binnen het schaalloon op trede 2 en wordt verhoogd met 2,15%. Per 1-1-2026 verdient de medewerker € 15,00 bruto per uur.
</t>
    </r>
    <r>
      <rPr>
        <b/>
        <sz val="11"/>
        <color rgb="FF151515"/>
        <rFont val="Calibri"/>
      </rPr>
      <t>Een medewerker</t>
    </r>
    <r>
      <rPr>
        <sz val="11"/>
        <color rgb="FF151515"/>
        <rFont val="Calibri"/>
      </rPr>
      <t xml:space="preserve"> in schaal A/B van de loontabel Tuincentra verdient op 31-12-2025 € 16,06 bruto per uur. Het loon komt overeen met het maximum van de schaal van de loontabel van 31-12-2025 (trede 7). Op 1 januari 2026 is het nieuwe maximum van de schaal A/B € 16,40. Het loon van de medewerker wordt verhoogd tot het nieuwe maximum per 1-1-2026, dus € 16,40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Tuincentra. 
Omdat de overheid heeft gekozen voor een andere berekening van het WML publiceren zij alleen uurlonen, wij volgen deze regelgeving en publiceren alleen uurtabellen. 
Ondernemersservice van INretail staat klaar voor al jullie vragen via info@inretail.nl en 088 973 06 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</si>
</sst>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
  </numFmts>
  <fonts count="20" x14ac:knownFonts="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b/>
      <sz val="20"/>
      <color rgb="FF151515"/>
      <name val="Calibri"/>
    </font>
    <font>
      <sz val="11"/>
      <color rgb="FF151515"/>
      <name val="Calibri"/>
    </font>
    <font>
      <u/>
      <sz val="11"/>
      <color rgb="FF151515"/>
      <name val="Calibri"/>
    </font>
    <font>
      <b/>
      <sz val="11"/>
      <color rgb="FF151515"/>
      <name val="Calibri"/>
    </font>
    <font>
      <sz val="11"/>
      <color rgb="FF000000"/>
      <name val="Calibri"/>
      <family val="2"/>
      <scheme val="minor"/>
    </font>
  </fonts>
  <fills count="16">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
      <patternFill patternType="solid">
        <fgColor theme="0"/>
        <bgColor indexed="64"/>
      </patternFill>
    </fill>
    <fill>
      <patternFill patternType="solid">
        <fgColor theme="5" tint="0.39997558519241921"/>
        <bgColor indexed="64"/>
      </patternFill>
    </fill>
    <fill>
      <patternFill patternType="solid">
        <fgColor rgb="FFCCFFCC"/>
        <bgColor indexed="64"/>
      </patternFill>
    </fill>
  </fills>
  <borders count="33">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
      <left style="thin">
        <color indexed="64"/>
      </left>
      <right style="thin">
        <color indexed="64"/>
      </right>
      <top style="thin">
        <color indexed="64"/>
      </top>
      <bottom/>
      <diagonal/>
    </border>
  </borders>
  <cellStyleXfs count="4">
    <xf numFmtId="0" fontId="0" fillId="0" borderId="0"/>
    <xf numFmtId="0" fontId="7" fillId="5" borderId="16" applyNumberFormat="0" applyAlignment="0" applyProtection="0"/>
    <xf numFmtId="0" fontId="13" fillId="12" borderId="16" applyNumberFormat="0" applyAlignment="0" applyProtection="0"/>
    <xf numFmtId="0" fontId="14" fillId="0" borderId="0" applyNumberFormat="0" applyFill="0" applyBorder="0" applyAlignment="0" applyProtection="0"/>
  </cellStyleXfs>
  <cellXfs count="97">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3" fillId="12" borderId="16" xfId="2" applyNumberFormat="1"/>
    <xf numFmtId="164" fontId="13" fillId="12" borderId="16" xfId="2" applyNumberFormat="1"/>
    <xf numFmtId="0" fontId="0" fillId="0" borderId="29" xfId="0" applyBorder="1" applyAlignment="1">
      <alignment vertical="top" wrapText="1"/>
    </xf>
    <xf numFmtId="0" fontId="14"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2" fontId="10" fillId="11" borderId="32" xfId="0" applyNumberFormat="1" applyFont="1" applyFill="1" applyBorder="1" applyAlignment="1">
      <alignment horizontal="right" wrapText="1"/>
    </xf>
    <xf numFmtId="0" fontId="6" fillId="0" borderId="22" xfId="0" applyFont="1" applyBorder="1" applyAlignment="1">
      <alignment horizontal="left" vertical="center" wrapText="1"/>
    </xf>
    <xf numFmtId="2" fontId="7" fillId="5" borderId="16" xfId="1" applyNumberFormat="1" applyProtection="1">
      <protection locked="0"/>
    </xf>
    <xf numFmtId="44" fontId="0" fillId="0" borderId="0" xfId="0" applyNumberFormat="1"/>
    <xf numFmtId="14" fontId="0" fillId="0" borderId="14" xfId="0" applyNumberFormat="1" applyBorder="1"/>
    <xf numFmtId="14" fontId="0" fillId="0" borderId="29" xfId="0" applyNumberFormat="1" applyBorder="1"/>
    <xf numFmtId="2" fontId="0" fillId="0" borderId="24" xfId="0" applyNumberFormat="1" applyBorder="1"/>
    <xf numFmtId="2" fontId="19" fillId="0" borderId="24" xfId="0" applyNumberFormat="1" applyFont="1" applyBorder="1"/>
    <xf numFmtId="2" fontId="10" fillId="13" borderId="24" xfId="0" applyNumberFormat="1" applyFont="1" applyFill="1" applyBorder="1" applyAlignment="1">
      <alignment horizontal="right" wrapText="1"/>
    </xf>
    <xf numFmtId="2" fontId="10" fillId="14" borderId="24" xfId="0" applyNumberFormat="1" applyFont="1" applyFill="1" applyBorder="1" applyAlignment="1">
      <alignment horizontal="right" wrapText="1"/>
    </xf>
    <xf numFmtId="2" fontId="10" fillId="15" borderId="24" xfId="0" applyNumberFormat="1" applyFont="1" applyFill="1" applyBorder="1" applyAlignment="1">
      <alignment horizontal="right" wrapText="1"/>
    </xf>
    <xf numFmtId="0" fontId="9" fillId="3" borderId="5" xfId="0" applyFont="1" applyFill="1" applyBorder="1"/>
    <xf numFmtId="0" fontId="12" fillId="0" borderId="6" xfId="0" applyFont="1" applyBorder="1"/>
    <xf numFmtId="0" fontId="12" fillId="0" borderId="7" xfId="0" applyFont="1" applyBorder="1"/>
    <xf numFmtId="0" fontId="0" fillId="0" borderId="13" xfId="0" applyBorder="1" applyAlignment="1">
      <alignment vertical="top" wrapText="1"/>
    </xf>
    <xf numFmtId="0" fontId="0" fillId="0" borderId="15" xfId="0" applyBorder="1" applyAlignment="1">
      <alignment vertical="top" wrapText="1"/>
    </xf>
    <xf numFmtId="0" fontId="0" fillId="0" borderId="0" xfId="0"/>
    <xf numFmtId="0" fontId="0" fillId="0" borderId="9" xfId="0" applyBorder="1"/>
    <xf numFmtId="0" fontId="0" fillId="2" borderId="5" xfId="0" applyFill="1" applyBorder="1"/>
    <xf numFmtId="0" fontId="0" fillId="2" borderId="6" xfId="0" applyFill="1" applyBorder="1"/>
    <xf numFmtId="0" fontId="0" fillId="2" borderId="7" xfId="0" applyFill="1" applyBorder="1"/>
    <xf numFmtId="0" fontId="11"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16"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1" fillId="0" borderId="2" xfId="0" applyFont="1" applyBorder="1"/>
    <xf numFmtId="0" fontId="0" fillId="0" borderId="27" xfId="0" applyBorder="1"/>
    <xf numFmtId="0" fontId="0" fillId="0" borderId="4" xfId="0" applyBorder="1"/>
    <xf numFmtId="0" fontId="2" fillId="2" borderId="5" xfId="0" applyFont="1" applyFill="1" applyBorder="1"/>
    <xf numFmtId="0" fontId="2" fillId="2" borderId="6" xfId="0" applyFont="1" applyFill="1" applyBorder="1"/>
    <xf numFmtId="0" fontId="2" fillId="2" borderId="7" xfId="0" applyFont="1" applyFill="1" applyBorder="1"/>
    <xf numFmtId="0" fontId="3" fillId="0" borderId="10" xfId="0" applyFont="1" applyBorder="1"/>
    <xf numFmtId="0" fontId="3" fillId="0" borderId="11" xfId="0" applyFont="1" applyBorder="1"/>
    <xf numFmtId="0" fontId="3" fillId="0" borderId="26" xfId="0" applyFont="1" applyBorder="1"/>
    <xf numFmtId="0" fontId="4" fillId="0" borderId="3" xfId="0" applyFont="1" applyBorder="1"/>
    <xf numFmtId="0" fontId="4" fillId="0" borderId="27" xfId="0" applyFont="1" applyBorder="1"/>
    <xf numFmtId="0" fontId="0" fillId="4" borderId="2" xfId="0" applyFill="1" applyBorder="1" applyProtection="1">
      <protection locked="0"/>
    </xf>
    <xf numFmtId="0" fontId="0" fillId="4" borderId="3" xfId="0" applyFill="1" applyBorder="1" applyProtection="1">
      <protection locked="0"/>
    </xf>
    <xf numFmtId="0" fontId="0" fillId="4" borderId="27" xfId="0" applyFill="1" applyBorder="1" applyProtection="1">
      <protection locked="0"/>
    </xf>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border outline="0">
        <left style="thin">
          <color rgb="FF7F7F7F"/>
        </left>
      </border>
    </dxf>
    <dxf>
      <numFmt numFmtId="2" formatCode="0.00"/>
      <protection locked="0" hidden="0"/>
    </dxf>
    <dxf>
      <border outline="0">
        <right style="thin">
          <color rgb="FF7F7F7F"/>
        </right>
      </border>
      <protection locked="0" hidden="0"/>
    </dxf>
    <dxf>
      <numFmt numFmtId="0" formatCode="General"/>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Row],[Uurloon]],INDIRECT(CONCATENATE("'Match Loontabel'!",CHAR(65+MATCH(Tabel1[[#This Row],[Functiegroep]],'Match Loontabel'!B$1:J$1,0)),":",CHAR(65+MATCH(Tabel1[[#This Row],[Functiegroep]],'Match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V65"/>
  <sheetViews>
    <sheetView tabSelected="1" zoomScaleNormal="100" workbookViewId="0">
      <selection sqref="A1:G1"/>
    </sheetView>
  </sheetViews>
  <sheetFormatPr defaultColWidth="9.109375" defaultRowHeight="14.4" x14ac:dyDescent="0.3"/>
  <cols>
    <col min="1" max="1" width="12.44140625" customWidth="1"/>
    <col min="2" max="3" width="11.6640625" customWidth="1"/>
    <col min="4" max="4" width="11.88671875" customWidth="1"/>
    <col min="5" max="6" width="14.6640625" customWidth="1"/>
    <col min="7" max="7" width="19" customWidth="1"/>
    <col min="8" max="8" width="1.44140625" customWidth="1"/>
    <col min="9" max="9" width="11.33203125" customWidth="1"/>
    <col min="20" max="20" width="1.33203125" customWidth="1"/>
  </cols>
  <sheetData>
    <row r="1" spans="1:22" ht="25.8" x14ac:dyDescent="0.5">
      <c r="A1" s="86" t="s">
        <v>53</v>
      </c>
      <c r="B1" s="87"/>
      <c r="C1" s="87"/>
      <c r="D1" s="87"/>
      <c r="E1" s="87"/>
      <c r="F1" s="87"/>
      <c r="G1" s="88"/>
      <c r="H1" s="27"/>
      <c r="I1" s="74" t="s">
        <v>59</v>
      </c>
      <c r="J1" s="75"/>
      <c r="K1" s="75"/>
      <c r="L1" s="75"/>
      <c r="M1" s="75"/>
      <c r="N1" s="75"/>
      <c r="O1" s="75"/>
      <c r="P1" s="75"/>
      <c r="Q1" s="75"/>
      <c r="R1" s="75"/>
      <c r="S1" s="76"/>
    </row>
    <row r="2" spans="1:22" ht="19.2" thickTop="1" thickBot="1" x14ac:dyDescent="0.4">
      <c r="A2" s="61" t="s">
        <v>0</v>
      </c>
      <c r="B2" s="62"/>
      <c r="C2" s="62"/>
      <c r="D2" s="62"/>
      <c r="E2" s="62"/>
      <c r="F2" s="62"/>
      <c r="G2" s="63"/>
      <c r="H2" s="27"/>
      <c r="I2" s="77"/>
      <c r="J2" s="78"/>
      <c r="K2" s="78"/>
      <c r="L2" s="78"/>
      <c r="M2" s="78"/>
      <c r="N2" s="78"/>
      <c r="O2" s="78"/>
      <c r="P2" s="78"/>
      <c r="Q2" s="78"/>
      <c r="R2" s="78"/>
      <c r="S2" s="79"/>
    </row>
    <row r="3" spans="1:22" ht="19.2" customHeight="1" thickTop="1" thickBot="1" x14ac:dyDescent="0.4">
      <c r="A3" s="89" t="s">
        <v>1</v>
      </c>
      <c r="B3" s="90"/>
      <c r="C3" s="90"/>
      <c r="D3" s="90"/>
      <c r="E3" s="90"/>
      <c r="F3" s="90"/>
      <c r="G3" s="91"/>
      <c r="H3" s="27"/>
      <c r="I3" s="77"/>
      <c r="J3" s="78"/>
      <c r="K3" s="78"/>
      <c r="L3" s="78"/>
      <c r="M3" s="78"/>
      <c r="N3" s="78"/>
      <c r="O3" s="78"/>
      <c r="P3" s="78"/>
      <c r="Q3" s="78"/>
      <c r="R3" s="78"/>
      <c r="S3" s="79"/>
    </row>
    <row r="4" spans="1:22" ht="15" thickBot="1" x14ac:dyDescent="0.35">
      <c r="A4" s="10"/>
      <c r="B4" s="92" t="s">
        <v>2</v>
      </c>
      <c r="C4" s="92"/>
      <c r="D4" s="92"/>
      <c r="E4" s="92"/>
      <c r="F4" s="92"/>
      <c r="G4" s="93"/>
      <c r="H4" s="24"/>
      <c r="I4" s="77"/>
      <c r="J4" s="78"/>
      <c r="K4" s="78"/>
      <c r="L4" s="78"/>
      <c r="M4" s="78"/>
      <c r="N4" s="78"/>
      <c r="O4" s="78"/>
      <c r="P4" s="78"/>
      <c r="Q4" s="78"/>
      <c r="R4" s="78"/>
      <c r="S4" s="79"/>
    </row>
    <row r="5" spans="1:22" ht="15" thickBot="1" x14ac:dyDescent="0.35">
      <c r="A5" s="11"/>
      <c r="B5" s="92" t="s">
        <v>3</v>
      </c>
      <c r="C5" s="92"/>
      <c r="D5" s="92"/>
      <c r="E5" s="92"/>
      <c r="F5" s="92"/>
      <c r="G5" s="93"/>
      <c r="H5" s="24"/>
      <c r="I5" s="77"/>
      <c r="J5" s="78"/>
      <c r="K5" s="78"/>
      <c r="L5" s="78"/>
      <c r="M5" s="78"/>
      <c r="N5" s="78"/>
      <c r="O5" s="78"/>
      <c r="P5" s="78"/>
      <c r="Q5" s="78"/>
      <c r="R5" s="78"/>
      <c r="S5" s="79"/>
    </row>
    <row r="6" spans="1:22" x14ac:dyDescent="0.3">
      <c r="A6" s="12" t="s">
        <v>55</v>
      </c>
      <c r="G6" s="28"/>
      <c r="I6" s="77"/>
      <c r="J6" s="78"/>
      <c r="K6" s="78"/>
      <c r="L6" s="78"/>
      <c r="M6" s="78"/>
      <c r="N6" s="78"/>
      <c r="O6" s="78"/>
      <c r="P6" s="78"/>
      <c r="Q6" s="78"/>
      <c r="R6" s="78"/>
      <c r="S6" s="79"/>
    </row>
    <row r="7" spans="1:22" x14ac:dyDescent="0.3">
      <c r="A7" s="13" t="s">
        <v>4</v>
      </c>
      <c r="G7" s="28"/>
      <c r="I7" s="77"/>
      <c r="J7" s="78"/>
      <c r="K7" s="78"/>
      <c r="L7" s="78"/>
      <c r="M7" s="78"/>
      <c r="N7" s="78"/>
      <c r="O7" s="78"/>
      <c r="P7" s="78"/>
      <c r="Q7" s="78"/>
      <c r="R7" s="78"/>
      <c r="S7" s="79"/>
    </row>
    <row r="8" spans="1:22" x14ac:dyDescent="0.3">
      <c r="A8" s="13" t="s">
        <v>5</v>
      </c>
      <c r="G8" s="28"/>
      <c r="I8" s="77"/>
      <c r="J8" s="78"/>
      <c r="K8" s="78"/>
      <c r="L8" s="78"/>
      <c r="M8" s="78"/>
      <c r="N8" s="78"/>
      <c r="O8" s="78"/>
      <c r="P8" s="78"/>
      <c r="Q8" s="78"/>
      <c r="R8" s="78"/>
      <c r="S8" s="79"/>
    </row>
    <row r="9" spans="1:22" ht="18.600000000000001" thickBot="1" x14ac:dyDescent="0.4">
      <c r="A9" s="13"/>
      <c r="G9" s="28"/>
      <c r="H9" s="27"/>
      <c r="I9" s="77"/>
      <c r="J9" s="78"/>
      <c r="K9" s="78"/>
      <c r="L9" s="78"/>
      <c r="M9" s="78"/>
      <c r="N9" s="78"/>
      <c r="O9" s="78"/>
      <c r="P9" s="78"/>
      <c r="Q9" s="78"/>
      <c r="R9" s="78"/>
      <c r="S9" s="79"/>
    </row>
    <row r="10" spans="1:22" ht="18.600000000000001" thickBot="1" x14ac:dyDescent="0.4">
      <c r="A10" s="12" t="s">
        <v>6</v>
      </c>
      <c r="B10" s="66" t="s">
        <v>7</v>
      </c>
      <c r="C10" s="66"/>
      <c r="D10" s="85"/>
      <c r="E10" s="94"/>
      <c r="F10" s="95"/>
      <c r="G10" s="96"/>
      <c r="H10" s="27"/>
      <c r="I10" s="77"/>
      <c r="J10" s="78"/>
      <c r="K10" s="78"/>
      <c r="L10" s="78"/>
      <c r="M10" s="78"/>
      <c r="N10" s="78"/>
      <c r="O10" s="78"/>
      <c r="P10" s="78"/>
      <c r="Q10" s="78"/>
      <c r="R10" s="78"/>
      <c r="S10" s="79"/>
    </row>
    <row r="11" spans="1:22" ht="18" x14ac:dyDescent="0.35">
      <c r="A11" s="12"/>
      <c r="G11" s="28"/>
      <c r="H11" s="27"/>
      <c r="I11" s="77"/>
      <c r="J11" s="78"/>
      <c r="K11" s="78"/>
      <c r="L11" s="78"/>
      <c r="M11" s="78"/>
      <c r="N11" s="78"/>
      <c r="O11" s="78"/>
      <c r="P11" s="78"/>
      <c r="Q11" s="78"/>
      <c r="R11" s="78"/>
      <c r="S11" s="79"/>
    </row>
    <row r="12" spans="1:22" ht="18" x14ac:dyDescent="0.35">
      <c r="A12" s="12" t="s">
        <v>8</v>
      </c>
      <c r="B12" s="66" t="s">
        <v>0</v>
      </c>
      <c r="C12" s="66"/>
      <c r="D12" s="66"/>
      <c r="E12" s="66"/>
      <c r="F12" s="66"/>
      <c r="G12" s="67"/>
      <c r="H12" s="27"/>
      <c r="I12" s="77"/>
      <c r="J12" s="78"/>
      <c r="K12" s="78"/>
      <c r="L12" s="78"/>
      <c r="M12" s="78"/>
      <c r="N12" s="78"/>
      <c r="O12" s="78"/>
      <c r="P12" s="78"/>
      <c r="Q12" s="78"/>
      <c r="R12" s="78"/>
      <c r="S12" s="79"/>
    </row>
    <row r="13" spans="1:22" ht="18.600000000000001" thickBot="1" x14ac:dyDescent="0.4">
      <c r="A13" s="12"/>
      <c r="G13" s="28"/>
      <c r="H13" s="27"/>
      <c r="I13" s="77"/>
      <c r="J13" s="78"/>
      <c r="K13" s="78"/>
      <c r="L13" s="78"/>
      <c r="M13" s="78"/>
      <c r="N13" s="78"/>
      <c r="O13" s="78"/>
      <c r="P13" s="78"/>
      <c r="Q13" s="78"/>
      <c r="R13" s="78"/>
      <c r="S13" s="79"/>
    </row>
    <row r="14" spans="1:22" ht="18.600000000000001" thickBot="1" x14ac:dyDescent="0.4">
      <c r="A14" s="12" t="s">
        <v>9</v>
      </c>
      <c r="B14" s="66" t="s">
        <v>10</v>
      </c>
      <c r="C14" s="66"/>
      <c r="D14" s="66"/>
      <c r="E14" s="85"/>
      <c r="F14" s="23" t="s">
        <v>38</v>
      </c>
      <c r="G14" s="28"/>
      <c r="H14" s="27"/>
      <c r="I14" s="77"/>
      <c r="J14" s="78"/>
      <c r="K14" s="78"/>
      <c r="L14" s="78"/>
      <c r="M14" s="78"/>
      <c r="N14" s="78"/>
      <c r="O14" s="78"/>
      <c r="P14" s="78"/>
      <c r="Q14" s="78"/>
      <c r="R14" s="78"/>
      <c r="S14" s="79"/>
    </row>
    <row r="15" spans="1:22" ht="15.75" customHeight="1" x14ac:dyDescent="0.35">
      <c r="A15" s="12"/>
      <c r="G15" s="28"/>
      <c r="H15" s="27"/>
      <c r="I15" s="77"/>
      <c r="J15" s="78"/>
      <c r="K15" s="78"/>
      <c r="L15" s="78"/>
      <c r="M15" s="78"/>
      <c r="N15" s="78"/>
      <c r="O15" s="78"/>
      <c r="P15" s="78"/>
      <c r="Q15" s="78"/>
      <c r="R15" s="78"/>
      <c r="S15" s="79"/>
    </row>
    <row r="16" spans="1:22" ht="15.75" customHeight="1" thickBot="1" x14ac:dyDescent="0.4">
      <c r="A16" s="12"/>
      <c r="G16" s="28"/>
      <c r="H16" s="27"/>
      <c r="I16" s="77"/>
      <c r="J16" s="78"/>
      <c r="K16" s="78"/>
      <c r="L16" s="78"/>
      <c r="M16" s="78"/>
      <c r="N16" s="78"/>
      <c r="O16" s="78"/>
      <c r="P16" s="78"/>
      <c r="Q16" s="78"/>
      <c r="R16" s="78"/>
      <c r="S16" s="79"/>
      <c r="V16" s="53"/>
    </row>
    <row r="17" spans="1:22" ht="15.75" customHeight="1" thickBot="1" x14ac:dyDescent="0.4">
      <c r="A17" s="12" t="s">
        <v>12</v>
      </c>
      <c r="B17" s="66" t="s">
        <v>54</v>
      </c>
      <c r="C17" s="66"/>
      <c r="D17" s="66"/>
      <c r="E17" s="85"/>
      <c r="F17" s="2">
        <v>4.32</v>
      </c>
      <c r="G17" s="28"/>
      <c r="H17" s="27"/>
      <c r="I17" s="77"/>
      <c r="J17" s="78"/>
      <c r="K17" s="78"/>
      <c r="L17" s="78"/>
      <c r="M17" s="78"/>
      <c r="N17" s="78"/>
      <c r="O17" s="78"/>
      <c r="P17" s="78"/>
      <c r="Q17" s="78"/>
      <c r="R17" s="78"/>
      <c r="S17" s="79"/>
    </row>
    <row r="18" spans="1:22" ht="15.75" customHeight="1" thickBot="1" x14ac:dyDescent="0.4">
      <c r="A18" s="12"/>
      <c r="G18" s="28"/>
      <c r="H18" s="27"/>
      <c r="I18" s="77"/>
      <c r="J18" s="78"/>
      <c r="K18" s="78"/>
      <c r="L18" s="78"/>
      <c r="M18" s="78"/>
      <c r="N18" s="78"/>
      <c r="O18" s="78"/>
      <c r="P18" s="78"/>
      <c r="Q18" s="78"/>
      <c r="R18" s="78"/>
      <c r="S18" s="79"/>
    </row>
    <row r="19" spans="1:22" ht="15.75" customHeight="1" thickBot="1" x14ac:dyDescent="0.4">
      <c r="A19" s="12" t="s">
        <v>13</v>
      </c>
      <c r="B19" s="66" t="s">
        <v>14</v>
      </c>
      <c r="C19" s="66"/>
      <c r="D19" s="66"/>
      <c r="E19" s="85"/>
      <c r="F19" s="83" t="s">
        <v>15</v>
      </c>
      <c r="G19" s="84"/>
      <c r="H19" s="27"/>
      <c r="I19" s="77"/>
      <c r="J19" s="78"/>
      <c r="K19" s="78"/>
      <c r="L19" s="78"/>
      <c r="M19" s="78"/>
      <c r="N19" s="78"/>
      <c r="O19" s="78"/>
      <c r="P19" s="78"/>
      <c r="Q19" s="78"/>
      <c r="R19" s="78"/>
      <c r="S19" s="79"/>
    </row>
    <row r="20" spans="1:22" ht="18" x14ac:dyDescent="0.35">
      <c r="A20" s="12"/>
      <c r="F20" s="14" t="s">
        <v>16</v>
      </c>
      <c r="G20" s="29" t="s">
        <v>17</v>
      </c>
      <c r="H20" s="27"/>
      <c r="I20" s="77"/>
      <c r="J20" s="78"/>
      <c r="K20" s="78"/>
      <c r="L20" s="78"/>
      <c r="M20" s="78"/>
      <c r="N20" s="78"/>
      <c r="O20" s="78"/>
      <c r="P20" s="78"/>
      <c r="Q20" s="78"/>
      <c r="R20" s="78"/>
      <c r="S20" s="79"/>
      <c r="V20" s="53"/>
    </row>
    <row r="21" spans="1:22" ht="18" x14ac:dyDescent="0.35">
      <c r="A21" s="12"/>
      <c r="F21" s="54">
        <v>46022</v>
      </c>
      <c r="G21" s="55">
        <v>46023</v>
      </c>
      <c r="H21" s="27"/>
      <c r="I21" s="77"/>
      <c r="J21" s="78"/>
      <c r="K21" s="78"/>
      <c r="L21" s="78"/>
      <c r="M21" s="78"/>
      <c r="N21" s="78"/>
      <c r="O21" s="78"/>
      <c r="P21" s="78"/>
      <c r="Q21" s="78"/>
      <c r="R21" s="78"/>
      <c r="S21" s="79"/>
    </row>
    <row r="22" spans="1:22" ht="15.75" customHeight="1" thickBot="1" x14ac:dyDescent="0.4">
      <c r="A22" s="12"/>
      <c r="F22" s="15"/>
      <c r="G22" s="30"/>
      <c r="H22" s="27"/>
      <c r="I22" s="77"/>
      <c r="J22" s="78"/>
      <c r="K22" s="78"/>
      <c r="L22" s="78"/>
      <c r="M22" s="78"/>
      <c r="N22" s="78"/>
      <c r="O22" s="78"/>
      <c r="P22" s="78"/>
      <c r="Q22" s="78"/>
      <c r="R22" s="78"/>
      <c r="S22" s="79"/>
    </row>
    <row r="23" spans="1:22" ht="15.75" customHeight="1" thickBot="1" x14ac:dyDescent="0.4">
      <c r="A23" s="12"/>
      <c r="F23" s="18">
        <f ca="1">IF(LEN(F14)&gt;0,MAX(INDIRECT(CONCATENATE("'Oude Loontabel'!",CHAR(65+MATCH(F14,'Oude Loontabel'!B1:J1,0)),":",CHAR(65+MATCH(F14,'Oude Loontabel'!B1:J1,0))))),"")</f>
        <v>16.056873968943929</v>
      </c>
      <c r="G23" s="31">
        <f ca="1">IF(LEN(F14)&gt;0,MAX(INDIRECT(CONCATENATE("'Nieuwe Loontabel'!",CHAR(65+MATCH(F14,'Nieuwe Loontabel'!B1:J1,0)),":",CHAR(65+MATCH(F14,'Nieuwe Loontabel'!B1:J1,0))))),"")</f>
        <v>16.402096759276223</v>
      </c>
      <c r="H23" s="27"/>
      <c r="I23" s="77"/>
      <c r="J23" s="78"/>
      <c r="K23" s="78"/>
      <c r="L23" s="78"/>
      <c r="M23" s="78"/>
      <c r="N23" s="78"/>
      <c r="O23" s="78"/>
      <c r="P23" s="78"/>
      <c r="Q23" s="78"/>
      <c r="R23" s="78"/>
      <c r="S23" s="79"/>
    </row>
    <row r="24" spans="1:22" ht="18" x14ac:dyDescent="0.35">
      <c r="A24" s="12"/>
      <c r="G24" s="28"/>
      <c r="H24" s="27"/>
      <c r="I24" s="77"/>
      <c r="J24" s="78"/>
      <c r="K24" s="78"/>
      <c r="L24" s="78"/>
      <c r="M24" s="78"/>
      <c r="N24" s="78"/>
      <c r="O24" s="78"/>
      <c r="P24" s="78"/>
      <c r="Q24" s="78"/>
      <c r="R24" s="78"/>
      <c r="S24" s="79"/>
    </row>
    <row r="25" spans="1:22" ht="15.75" customHeight="1" thickBot="1" x14ac:dyDescent="0.4">
      <c r="A25" s="12" t="s">
        <v>18</v>
      </c>
      <c r="B25" s="66" t="s">
        <v>19</v>
      </c>
      <c r="C25" s="66"/>
      <c r="D25" s="66"/>
      <c r="E25" s="66"/>
      <c r="F25" s="66"/>
      <c r="G25" s="67"/>
      <c r="H25" s="27"/>
      <c r="I25" s="77"/>
      <c r="J25" s="78"/>
      <c r="K25" s="78"/>
      <c r="L25" s="78"/>
      <c r="M25" s="78"/>
      <c r="N25" s="78"/>
      <c r="O25" s="78"/>
      <c r="P25" s="78"/>
      <c r="Q25" s="78"/>
      <c r="R25" s="78"/>
      <c r="S25" s="79"/>
    </row>
    <row r="26" spans="1:22" ht="15" customHeight="1" x14ac:dyDescent="0.35">
      <c r="A26" s="12"/>
      <c r="F26" s="64" t="s">
        <v>20</v>
      </c>
      <c r="G26" s="29" t="s">
        <v>17</v>
      </c>
      <c r="H26" s="27"/>
      <c r="I26" s="77"/>
      <c r="J26" s="78"/>
      <c r="K26" s="78"/>
      <c r="L26" s="78"/>
      <c r="M26" s="78"/>
      <c r="N26" s="78"/>
      <c r="O26" s="78"/>
      <c r="P26" s="78"/>
      <c r="Q26" s="78"/>
      <c r="R26" s="78"/>
      <c r="S26" s="79"/>
    </row>
    <row r="27" spans="1:22" ht="33" customHeight="1" x14ac:dyDescent="0.35">
      <c r="A27" s="47"/>
      <c r="B27" s="48"/>
      <c r="C27" s="48" t="s">
        <v>21</v>
      </c>
      <c r="D27" s="49" t="s">
        <v>22</v>
      </c>
      <c r="E27" s="49" t="s">
        <v>23</v>
      </c>
      <c r="F27" s="65"/>
      <c r="G27" s="45" t="s">
        <v>56</v>
      </c>
      <c r="H27" s="27"/>
      <c r="I27" s="77"/>
      <c r="J27" s="78"/>
      <c r="K27" s="78"/>
      <c r="L27" s="78"/>
      <c r="M27" s="78"/>
      <c r="N27" s="78"/>
      <c r="O27" s="78"/>
      <c r="P27" s="78"/>
      <c r="Q27" s="78"/>
      <c r="R27" s="78"/>
      <c r="S27" s="79"/>
    </row>
    <row r="28" spans="1:22" ht="15.75" customHeight="1" thickBot="1" x14ac:dyDescent="0.4">
      <c r="A28" s="47" t="s">
        <v>24</v>
      </c>
      <c r="B28" s="48"/>
      <c r="C28" s="48">
        <f ca="1">MATCH(F17,INDIRECT(CONCATENATE("'Match Loontabel'!",CHAR(65+MATCH(F14,'Match Loontabel'!B1:J1,0)),":",CHAR(65+MATCH(F14,'Match Loontabel'!B1:J1,0)))),1)</f>
        <v>2</v>
      </c>
      <c r="D28" s="48" cm="1">
        <f t="array" aca="1" ref="D28" ca="1">INDEX(INDIRECT(CONCATENATE("'Oude Loontabel'!",CHAR(65+MATCH(F14,'Oude Loontabel'!B1:J1,0)),":",CHAR(65+MATCH(F14,'Oude Loontabel'!B1:J1,0)))),C28)</f>
        <v>4.3182555453899996</v>
      </c>
      <c r="E28" s="48" cm="1">
        <f t="array" aca="1" ref="E28" ca="1">INDEX(INDIRECT(CONCATENATE("'Nieuwe Loontabel'!",CHAR(65+MATCH(F14,'Nieuwe Loontabel'!B1:J1,0)),":",CHAR(65+MATCH(F14,'Nieuwe Loontabel'!B1:J1,0)))),C28)</f>
        <v>4.4110980396158848</v>
      </c>
      <c r="F28" s="16" cm="1">
        <f t="array" aca="1" ref="F28" ca="1">IF(((E28/D28)*F17)&lt;G23,IF(INDEX(INDIRECT(CONCATENATE("'Match Loontabel'!",CHAR(65+MATCH(F14,'Match Loontabel'!B1:J1,0)),":",CHAR(65+MATCH(F14,'Match Loontabel'!B1:J1,0)))),C28)=F17,E28,((E28/D28)*F17)),IF(F17&gt;G23,0,G23))</f>
        <v>4.4110980396158848</v>
      </c>
      <c r="G28" s="32">
        <f ca="1">IF(F17&gt;G23,F17,0)</f>
        <v>0</v>
      </c>
      <c r="H28" s="27"/>
      <c r="I28" s="77"/>
      <c r="J28" s="78"/>
      <c r="K28" s="78"/>
      <c r="L28" s="78"/>
      <c r="M28" s="78"/>
      <c r="N28" s="78"/>
      <c r="O28" s="78"/>
      <c r="P28" s="78"/>
      <c r="Q28" s="78"/>
      <c r="R28" s="78"/>
      <c r="S28" s="79"/>
    </row>
    <row r="29" spans="1:22" ht="18" x14ac:dyDescent="0.35">
      <c r="A29" s="12"/>
      <c r="G29" s="28"/>
      <c r="H29" s="27"/>
      <c r="I29" s="77"/>
      <c r="J29" s="78"/>
      <c r="K29" s="78"/>
      <c r="L29" s="78"/>
      <c r="M29" s="78"/>
      <c r="N29" s="78"/>
      <c r="O29" s="78"/>
      <c r="P29" s="78"/>
      <c r="Q29" s="78"/>
      <c r="R29" s="78"/>
      <c r="S29" s="79"/>
      <c r="U29" s="46"/>
    </row>
    <row r="30" spans="1:22" ht="18.600000000000001" thickBot="1" x14ac:dyDescent="0.4">
      <c r="A30" s="12"/>
      <c r="B30" s="66"/>
      <c r="C30" s="66"/>
      <c r="D30" s="66"/>
      <c r="E30" s="66"/>
      <c r="F30" s="66"/>
      <c r="G30" s="67"/>
      <c r="H30" s="27"/>
      <c r="I30" s="77"/>
      <c r="J30" s="78"/>
      <c r="K30" s="78"/>
      <c r="L30" s="78"/>
      <c r="M30" s="78"/>
      <c r="N30" s="78"/>
      <c r="O30" s="78"/>
      <c r="P30" s="78"/>
      <c r="Q30" s="78"/>
      <c r="R30" s="78"/>
      <c r="S30" s="79"/>
    </row>
    <row r="31" spans="1:22" ht="15.75" customHeight="1" thickBot="1" x14ac:dyDescent="0.4">
      <c r="A31" s="12" t="s">
        <v>25</v>
      </c>
      <c r="B31" s="66" t="s">
        <v>57</v>
      </c>
      <c r="C31" s="66"/>
      <c r="D31" s="66"/>
      <c r="E31" s="66"/>
      <c r="F31" s="85"/>
      <c r="G31" s="31" cm="1">
        <f t="array" aca="1" ref="G31" ca="1">IF(((E28/D28)*F17)&lt;G23,IF(INDEX(INDIRECT(CONCATENATE("'Match Loontabel'!",CHAR(65+MATCH(F14,'Match Loontabel'!B1:J1,0)),":",CHAR(65+MATCH(F14,'Match Loontabel'!B1:J1,0)))),C28)=F17,E28,((E28/D28)*F17)),IF(F17&gt;G23,F17,G23))</f>
        <v>4.4110980396158848</v>
      </c>
      <c r="H31" s="27"/>
      <c r="I31" s="77"/>
      <c r="J31" s="78"/>
      <c r="K31" s="78"/>
      <c r="L31" s="78"/>
      <c r="M31" s="78"/>
      <c r="N31" s="78"/>
      <c r="O31" s="78"/>
      <c r="P31" s="78"/>
      <c r="Q31" s="78"/>
      <c r="R31" s="78"/>
      <c r="S31" s="79"/>
    </row>
    <row r="32" spans="1:22" ht="15.75" hidden="1" customHeight="1" thickBot="1" x14ac:dyDescent="0.4">
      <c r="A32" s="12"/>
      <c r="B32" t="s">
        <v>26</v>
      </c>
      <c r="G32" s="38">
        <f ca="1">(100/F17*G31)/100-1</f>
        <v>2.1087509170343521E-2</v>
      </c>
      <c r="H32" s="27"/>
      <c r="I32" s="77"/>
      <c r="J32" s="78"/>
      <c r="K32" s="78"/>
      <c r="L32" s="78"/>
      <c r="M32" s="78"/>
      <c r="N32" s="78"/>
      <c r="O32" s="78"/>
      <c r="P32" s="78"/>
      <c r="Q32" s="78"/>
      <c r="R32" s="78"/>
      <c r="S32" s="79"/>
    </row>
    <row r="33" spans="1:19" ht="15.75" customHeight="1" thickBot="1" x14ac:dyDescent="0.4">
      <c r="A33" s="12"/>
      <c r="G33" s="33"/>
      <c r="H33" s="27"/>
      <c r="I33" s="77"/>
      <c r="J33" s="78"/>
      <c r="K33" s="78"/>
      <c r="L33" s="78"/>
      <c r="M33" s="78"/>
      <c r="N33" s="78"/>
      <c r="O33" s="78"/>
      <c r="P33" s="78"/>
      <c r="Q33" s="78"/>
      <c r="R33" s="78"/>
      <c r="S33" s="79"/>
    </row>
    <row r="34" spans="1:19" ht="16.5" customHeight="1" thickTop="1" thickBot="1" x14ac:dyDescent="0.4">
      <c r="A34" s="68" t="s">
        <v>58</v>
      </c>
      <c r="B34" s="69"/>
      <c r="C34" s="69"/>
      <c r="D34" s="69"/>
      <c r="E34" s="69"/>
      <c r="F34" s="69"/>
      <c r="G34" s="70"/>
      <c r="H34" s="27"/>
      <c r="I34" s="77"/>
      <c r="J34" s="78"/>
      <c r="K34" s="78"/>
      <c r="L34" s="78"/>
      <c r="M34" s="78"/>
      <c r="N34" s="78"/>
      <c r="O34" s="78"/>
      <c r="P34" s="78"/>
      <c r="Q34" s="78"/>
      <c r="R34" s="78"/>
      <c r="S34" s="79"/>
    </row>
    <row r="35" spans="1:19" ht="138" customHeight="1" thickTop="1" thickBot="1" x14ac:dyDescent="0.35">
      <c r="A35" s="71" t="s">
        <v>27</v>
      </c>
      <c r="B35" s="72"/>
      <c r="C35" s="72"/>
      <c r="D35" s="72"/>
      <c r="E35" s="72"/>
      <c r="F35" s="72"/>
      <c r="G35" s="73"/>
      <c r="H35" s="51"/>
      <c r="I35" s="80"/>
      <c r="J35" s="81"/>
      <c r="K35" s="81"/>
      <c r="L35" s="81"/>
      <c r="M35" s="81"/>
      <c r="N35" s="81"/>
      <c r="O35" s="81"/>
      <c r="P35" s="81"/>
      <c r="Q35" s="81"/>
      <c r="R35" s="81"/>
      <c r="S35" s="82"/>
    </row>
    <row r="36" spans="1:19" ht="15" thickTop="1" x14ac:dyDescent="0.3">
      <c r="A36" s="17"/>
      <c r="B36" s="17"/>
      <c r="C36" s="17"/>
      <c r="D36" s="17"/>
      <c r="E36" s="17"/>
      <c r="F36" s="17"/>
      <c r="G36" s="17"/>
      <c r="H36" s="17"/>
    </row>
    <row r="37" spans="1:19" x14ac:dyDescent="0.3">
      <c r="E37" s="20"/>
      <c r="F37" s="20"/>
    </row>
    <row r="39" spans="1:19" x14ac:dyDescent="0.3">
      <c r="E39" s="21"/>
      <c r="F39" s="21"/>
    </row>
    <row r="40" spans="1:19" x14ac:dyDescent="0.3">
      <c r="E40" s="7"/>
    </row>
    <row r="41" spans="1:19" x14ac:dyDescent="0.3">
      <c r="E41" s="20"/>
      <c r="F41" s="20"/>
    </row>
    <row r="43" spans="1:19" x14ac:dyDescent="0.3">
      <c r="A43" s="19"/>
      <c r="E43" s="21"/>
      <c r="F43" s="21"/>
    </row>
    <row r="44" spans="1:19" x14ac:dyDescent="0.3">
      <c r="F44" s="7"/>
    </row>
    <row r="45" spans="1:19" x14ac:dyDescent="0.3">
      <c r="E45" s="20"/>
      <c r="F45" s="20"/>
    </row>
    <row r="47" spans="1:19" x14ac:dyDescent="0.3">
      <c r="E47" s="21"/>
      <c r="F47" s="21"/>
    </row>
    <row r="48" spans="1:19" x14ac:dyDescent="0.3">
      <c r="E48" s="7"/>
      <c r="F48" s="7"/>
    </row>
    <row r="49" spans="1:6" x14ac:dyDescent="0.3">
      <c r="E49" s="20"/>
      <c r="F49" s="20"/>
    </row>
    <row r="51" spans="1:6" x14ac:dyDescent="0.3">
      <c r="E51" s="21"/>
      <c r="F51" s="21"/>
    </row>
    <row r="52" spans="1:6" x14ac:dyDescent="0.3">
      <c r="E52" s="7"/>
      <c r="F52" s="22"/>
    </row>
    <row r="53" spans="1:6" x14ac:dyDescent="0.3">
      <c r="E53" s="20"/>
      <c r="F53" s="20"/>
    </row>
    <row r="55" spans="1:6" x14ac:dyDescent="0.3">
      <c r="A55" s="19"/>
      <c r="E55" s="21"/>
      <c r="F55" s="21"/>
    </row>
    <row r="56" spans="1:6" x14ac:dyDescent="0.3">
      <c r="F56" s="7"/>
    </row>
    <row r="57" spans="1:6" x14ac:dyDescent="0.3">
      <c r="E57" s="20"/>
      <c r="F57" s="20"/>
    </row>
    <row r="59" spans="1:6" x14ac:dyDescent="0.3">
      <c r="E59" s="21"/>
      <c r="F59" s="21"/>
    </row>
    <row r="60" spans="1:6" x14ac:dyDescent="0.3">
      <c r="F60" s="7"/>
    </row>
    <row r="61" spans="1:6" x14ac:dyDescent="0.3">
      <c r="E61" s="20"/>
      <c r="F61" s="20"/>
    </row>
    <row r="63" spans="1:6" x14ac:dyDescent="0.3">
      <c r="E63" s="21"/>
      <c r="F63" s="21"/>
    </row>
    <row r="64" spans="1:6" x14ac:dyDescent="0.3">
      <c r="E64" s="7"/>
      <c r="F64" s="22"/>
    </row>
    <row r="65" spans="5:6" x14ac:dyDescent="0.3">
      <c r="E65" s="20"/>
      <c r="F65" s="20"/>
    </row>
  </sheetData>
  <sheetProtection algorithmName="SHA-512" hashValue="e+1pQujJZRgnNB8wRzalMDFDLuAUZGTjYVXJc+Gd7dBY/5qGWQ2NR+AoCPA0XGEo1Xv+WPYQaCYOSxdHYg2teg==" saltValue="EcGBxwaIb8QlhaYWsFeuog==" spinCount="100000" sheet="1" objects="1" scenarios="1"/>
  <mergeCells count="19">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 ref="F26:F27"/>
    <mergeCell ref="B25:G25"/>
    <mergeCell ref="B30:G30"/>
    <mergeCell ref="A34:G34"/>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D3" sqref="D3"/>
    </sheetView>
  </sheetViews>
  <sheetFormatPr defaultRowHeight="14.4" x14ac:dyDescent="0.3"/>
  <cols>
    <col min="1" max="1" width="21.109375" style="3" customWidth="1"/>
    <col min="2" max="2" width="23.44140625" customWidth="1"/>
    <col min="3" max="3" width="15" style="3" bestFit="1" customWidth="1"/>
    <col min="4" max="4" width="10.5546875" style="3" bestFit="1" customWidth="1"/>
    <col min="5" max="5" width="12.44140625" customWidth="1"/>
    <col min="6" max="6" width="12.5546875" bestFit="1" customWidth="1"/>
    <col min="7" max="7" width="12.5546875" style="40" hidden="1" customWidth="1"/>
    <col min="8" max="9" width="12.5546875" hidden="1" customWidth="1"/>
    <col min="10" max="10" width="12" customWidth="1"/>
    <col min="11" max="11" width="11.33203125" customWidth="1"/>
    <col min="12" max="12" width="10" customWidth="1"/>
    <col min="13" max="13" width="13.88671875" style="42" hidden="1" customWidth="1"/>
  </cols>
  <sheetData>
    <row r="1" spans="1:13" ht="74.25" customHeight="1" x14ac:dyDescent="0.3">
      <c r="A1" s="3" t="s">
        <v>28</v>
      </c>
      <c r="B1" t="s">
        <v>29</v>
      </c>
      <c r="C1" s="4" t="s">
        <v>30</v>
      </c>
      <c r="D1" s="3" t="s">
        <v>31</v>
      </c>
      <c r="E1" s="5" t="s">
        <v>16</v>
      </c>
      <c r="F1" s="5" t="s">
        <v>17</v>
      </c>
      <c r="G1" s="39" t="s">
        <v>32</v>
      </c>
      <c r="H1" s="5" t="s">
        <v>33</v>
      </c>
      <c r="I1" s="5" t="s">
        <v>34</v>
      </c>
      <c r="J1" s="5" t="s">
        <v>20</v>
      </c>
      <c r="K1" s="5" t="s">
        <v>35</v>
      </c>
      <c r="L1" s="5" t="s">
        <v>36</v>
      </c>
      <c r="M1" s="41" t="s">
        <v>37</v>
      </c>
    </row>
    <row r="2" spans="1:13" x14ac:dyDescent="0.3">
      <c r="A2" s="6"/>
      <c r="B2" t="str">
        <f>Rekentool!B$12</f>
        <v>Tuincentra</v>
      </c>
      <c r="C2" s="6" t="s">
        <v>38</v>
      </c>
      <c r="D2" s="52">
        <v>4.32</v>
      </c>
      <c r="E2" s="1">
        <f ca="1">IF(LEN(Tabel1[[#This Row],[Functiegroep]])&gt;0,MAX(INDIRECT(CONCATENATE("'Oude Loontabel'!",CHAR(65+MATCH(Tabel1[[#This Row],[Functiegroep]],'Oude Loontabel'!B$1:J$1,0)),":",CHAR(65+MATCH(Tabel1[[#This Row],[Functiegroep]],'Oude Loontabel'!B$1:J$1,0))))),"")</f>
        <v>16.056873968943929</v>
      </c>
      <c r="F2" s="1">
        <f ca="1">IF(LEN(Tabel1[[#This Row],[Functiegroep]])&gt;0,MAX(INDIRECT(CONCATENATE("'Nieuwe Loontabel'!",CHAR(65+MATCH(Tabel1[[#This Row],[Functiegroep]],'Nieuwe Loontabel'!B$1:J$1,0)),":",CHAR(65+MATCH(Tabel1[[#This Row],[Functiegroep]],'Nieuwe Loontabel'!B$1:J$1,0))))),"")</f>
        <v>16.402096759276223</v>
      </c>
      <c r="G2" s="43">
        <f ca="1">MATCH(Tabel1[[#This Row],[Uurloon]],INDIRECT(CONCATENATE("'Match Loontabel'!",CHAR(65+MATCH(Tabel1[[#This Row],[Functiegroep]],'Match Loontabel'!B$1:J$1,0)),":",CHAR(65+MATCH(Tabel1[[#This Row],[Functiegroep]],'Match Loontabel'!B$1:J$1,0)))),1)</f>
        <v>2</v>
      </c>
      <c r="H2" s="44" cm="1">
        <f t="array" aca="1" ref="H2" ca="1">INDEX(INDIRECT(CONCATENATE("'Oude Loontabel'!",CHAR(65+MATCH(Tabel1[[#This Row],[Functiegroep]],'Oude Loontabel'!B$1:J$1,0)),":",CHAR(65+MATCH(Tabel1[[#This Row],[Functiegroep]],'Oude Loontabel'!B$1:J$1,0)))),Tabel1[[#This Row],[ROW_TEMP]])</f>
        <v>4.3182555453899996</v>
      </c>
      <c r="I2" s="44" cm="1">
        <f t="array" aca="1" ref="I2" ca="1">INDEX(INDIRECT(CONCATENATE("'Nieuwe Loontabel'!",CHAR(65+MATCH(Tabel1[[#This Row],[Functiegroep]],'Nieuwe Loontabel'!B$1:J$1,0)),":",CHAR(65+MATCH(Tabel1[[#This Row],[Functiegroep]],'Nieuwe Loontabel'!B$1:J$1,0)))),Tabel1[[#This Row],[ROW_TEMP]])</f>
        <v>4.4110980396158848</v>
      </c>
      <c r="J2" s="7" cm="1">
        <f t="array" aca="1" ref="J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4.4110980396158848</v>
      </c>
      <c r="K2" s="7">
        <f ca="1">IF(Tabel1[[#This Row],[Uurloon]]&gt;Tabel1[[#This Row],[nieuw maximum]],Tabel1[[#This Row],[Uurloon]],0)</f>
        <v>0</v>
      </c>
      <c r="L2" s="1" cm="1">
        <f t="array" aca="1" ref="L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4.4110980396158848</v>
      </c>
      <c r="M2" s="42">
        <f ca="1">(100/Tabel1[[#This Row],[Uurloon]]*Tabel1[[#This Row],[Nieuw uurloon]])/100-1</f>
        <v>2.1087509170343521E-2</v>
      </c>
    </row>
    <row r="3" spans="1:13" x14ac:dyDescent="0.3">
      <c r="A3" s="6"/>
      <c r="B3" t="str">
        <f>Rekentool!B$12</f>
        <v>Tuincentra</v>
      </c>
      <c r="C3" s="6" t="s">
        <v>11</v>
      </c>
      <c r="D3" s="52">
        <v>4.32</v>
      </c>
      <c r="E3" s="1">
        <f ca="1">IF(LEN(Tabel1[[#This Row],[Functiegroep]])&gt;0,MAX(INDIRECT(CONCATENATE("'Oude Loontabel'!",CHAR(65+MATCH(Tabel1[[#This Row],[Functiegroep]],'Oude Loontabel'!B$1:J$1,0)),":",CHAR(65+MATCH(Tabel1[[#This Row],[Functiegroep]],'Oude Loontabel'!B$1:J$1,0))))),"")</f>
        <v>16.056873968943929</v>
      </c>
      <c r="F3" s="1">
        <f ca="1">IF(LEN(Tabel1[[#This Row],[Functiegroep]])&gt;0,MAX(INDIRECT(CONCATENATE("'Nieuwe Loontabel'!",CHAR(65+MATCH(Tabel1[[#This Row],[Functiegroep]],'Nieuwe Loontabel'!B$1:J$1,0)),":",CHAR(65+MATCH(Tabel1[[#This Row],[Functiegroep]],'Nieuwe Loontabel'!B$1:J$1,0))))),"")</f>
        <v>16.402096759276223</v>
      </c>
      <c r="G3" s="43">
        <f ca="1">MATCH(Tabel1[[#This Row],[Uurloon]],INDIRECT(CONCATENATE("'Match Loontabel'!",CHAR(65+MATCH(Tabel1[[#This Row],[Functiegroep]],'Match Loontabel'!B$1:J$1,0)),":",CHAR(65+MATCH(Tabel1[[#This Row],[Functiegroep]],'Match Loontabel'!B$1:J$1,0)))),1)</f>
        <v>2</v>
      </c>
      <c r="H3" s="44" cm="1">
        <f t="array" aca="1" ref="H3" ca="1">INDEX(INDIRECT(CONCATENATE("'Oude Loontabel'!",CHAR(65+MATCH(Tabel1[[#This Row],[Functiegroep]],'Oude Loontabel'!B$1:J$1,0)),":",CHAR(65+MATCH(Tabel1[[#This Row],[Functiegroep]],'Oude Loontabel'!B$1:J$1,0)))),Tabel1[[#This Row],[ROW_TEMP]])</f>
        <v>4.3182555453899996</v>
      </c>
      <c r="I3" s="44" cm="1">
        <f t="array" aca="1" ref="I3" ca="1">INDEX(INDIRECT(CONCATENATE("'Nieuwe Loontabel'!",CHAR(65+MATCH(Tabel1[[#This Row],[Functiegroep]],'Nieuwe Loontabel'!B$1:J$1,0)),":",CHAR(65+MATCH(Tabel1[[#This Row],[Functiegroep]],'Nieuwe Loontabel'!B$1:J$1,0)))),Tabel1[[#This Row],[ROW_TEMP]])</f>
        <v>4.4110980396158848</v>
      </c>
      <c r="J3" s="7" cm="1">
        <f t="array" aca="1" ref="J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4.4110980396158848</v>
      </c>
      <c r="K3" s="7">
        <f ca="1">IF(Tabel1[[#This Row],[Uurloon]]&gt;Tabel1[[#This Row],[nieuw maximum]],Tabel1[[#This Row],[Uurloon]],0)</f>
        <v>0</v>
      </c>
      <c r="L3" s="1" cm="1">
        <f t="array" aca="1" ref="L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4.4110980396158848</v>
      </c>
      <c r="M3" s="42">
        <f ca="1">(100/Tabel1[[#This Row],[Uurloon]]*Tabel1[[#This Row],[Nieuw uurloon]])/100-1</f>
        <v>2.1087509170343521E-2</v>
      </c>
    </row>
    <row r="4" spans="1:13" x14ac:dyDescent="0.3">
      <c r="A4" s="6"/>
      <c r="B4" t="str">
        <f>Rekentool!B$12</f>
        <v>Tuincentra</v>
      </c>
      <c r="C4" s="6" t="s">
        <v>39</v>
      </c>
      <c r="D4" s="52">
        <v>4.41</v>
      </c>
      <c r="E4" s="1">
        <f ca="1">IF(LEN(Tabel1[[#This Row],[Functiegroep]])&gt;0,MAX(INDIRECT(CONCATENATE("'Oude Loontabel'!",CHAR(65+MATCH(Tabel1[[#This Row],[Functiegroep]],'Oude Loontabel'!B$1:J$1,0)),":",CHAR(65+MATCH(Tabel1[[#This Row],[Functiegroep]],'Oude Loontabel'!B$1:J$1,0))))),"")</f>
        <v>16.54179156280604</v>
      </c>
      <c r="F4" s="1">
        <f ca="1">IF(LEN(Tabel1[[#This Row],[Functiegroep]])&gt;0,MAX(INDIRECT(CONCATENATE("'Nieuwe Loontabel'!",CHAR(65+MATCH(Tabel1[[#This Row],[Functiegroep]],'Nieuwe Loontabel'!B$1:J$1,0)),":",CHAR(65+MATCH(Tabel1[[#This Row],[Functiegroep]],'Nieuwe Loontabel'!B$1:J$1,0))))),"")</f>
        <v>16.897440081406366</v>
      </c>
      <c r="G4" s="43">
        <f ca="1">MATCH(Tabel1[[#This Row],[Uurloon]],INDIRECT(CONCATENATE("'Match Loontabel'!",CHAR(65+MATCH(Tabel1[[#This Row],[Functiegroep]],'Match Loontabel'!B$1:J$1,0)),":",CHAR(65+MATCH(Tabel1[[#This Row],[Functiegroep]],'Match Loontabel'!B$1:J$1,0)))),1)</f>
        <v>2</v>
      </c>
      <c r="H4" s="44" cm="1">
        <f t="array" aca="1" ref="H4" ca="1">INDEX(INDIRECT(CONCATENATE("'Oude Loontabel'!",CHAR(65+MATCH(Tabel1[[#This Row],[Functiegroep]],'Oude Loontabel'!B$1:J$1,0)),":",CHAR(65+MATCH(Tabel1[[#This Row],[Functiegroep]],'Oude Loontabel'!B$1:J$1,0)))),Tabel1[[#This Row],[ROW_TEMP]])</f>
        <v>4.4057273449049097</v>
      </c>
      <c r="I4" s="44" cm="1">
        <f t="array" aca="1" ref="I4" ca="1">INDEX(INDIRECT(CONCATENATE("'Nieuwe Loontabel'!",CHAR(65+MATCH(Tabel1[[#This Row],[Functiegroep]],'Nieuwe Loontabel'!B$1:J$1,0)),":",CHAR(65+MATCH(Tabel1[[#This Row],[Functiegroep]],'Nieuwe Loontabel'!B$1:J$1,0)))),Tabel1[[#This Row],[ROW_TEMP]])</f>
        <v>4.5004504828203657</v>
      </c>
      <c r="J4" s="7" cm="1">
        <f t="array" aca="1" ref="J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4.5004504828203657</v>
      </c>
      <c r="K4" s="7">
        <f ca="1">IF(Tabel1[[#This Row],[Uurloon]]&gt;Tabel1[[#This Row],[nieuw maximum]],Tabel1[[#This Row],[Uurloon]],0)</f>
        <v>0</v>
      </c>
      <c r="L4" s="1" cm="1">
        <f t="array" aca="1" ref="L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4.5004504828203657</v>
      </c>
      <c r="M4" s="42">
        <f ca="1">(100/Tabel1[[#This Row],[Uurloon]]*Tabel1[[#This Row],[Nieuw uurloon]])/100-1</f>
        <v>2.0510313564708671E-2</v>
      </c>
    </row>
    <row r="5" spans="1:13" x14ac:dyDescent="0.3">
      <c r="A5" s="6"/>
      <c r="B5" t="str">
        <f>Rekentool!B$12</f>
        <v>Tuincentra</v>
      </c>
      <c r="C5" s="6" t="s">
        <v>40</v>
      </c>
      <c r="D5" s="52">
        <v>5.23</v>
      </c>
      <c r="E5" s="1">
        <f ca="1">IF(LEN(Tabel1[[#This Row],[Functiegroep]])&gt;0,MAX(INDIRECT(CONCATENATE("'Oude Loontabel'!",CHAR(65+MATCH(Tabel1[[#This Row],[Functiegroep]],'Oude Loontabel'!B$1:J$1,0)),":",CHAR(65+MATCH(Tabel1[[#This Row],[Functiegroep]],'Oude Loontabel'!B$1:J$1,0))))),"")</f>
        <v>17.729376969296254</v>
      </c>
      <c r="F5" s="1">
        <f ca="1">IF(LEN(Tabel1[[#This Row],[Functiegroep]])&gt;0,MAX(INDIRECT(CONCATENATE("'Nieuwe Loontabel'!",CHAR(65+MATCH(Tabel1[[#This Row],[Functiegroep]],'Nieuwe Loontabel'!B$1:J$1,0)),":",CHAR(65+MATCH(Tabel1[[#This Row],[Functiegroep]],'Nieuwe Loontabel'!B$1:J$1,0))))),"")</f>
        <v>18.110558574136121</v>
      </c>
      <c r="G5" s="43">
        <f ca="1">MATCH(Tabel1[[#This Row],[Uurloon]],INDIRECT(CONCATENATE("'Match Loontabel'!",CHAR(65+MATCH(Tabel1[[#This Row],[Functiegroep]],'Match Loontabel'!B$1:J$1,0)),":",CHAR(65+MATCH(Tabel1[[#This Row],[Functiegroep]],'Match Loontabel'!B$1:J$1,0)))),1)</f>
        <v>3</v>
      </c>
      <c r="H5" s="44" cm="1">
        <f t="array" aca="1" ref="H5" ca="1">INDEX(INDIRECT(CONCATENATE("'Oude Loontabel'!",CHAR(65+MATCH(Tabel1[[#This Row],[Functiegroep]],'Oude Loontabel'!B$1:J$1,0)),":",CHAR(65+MATCH(Tabel1[[#This Row],[Functiegroep]],'Oude Loontabel'!B$1:J$1,0)))),Tabel1[[#This Row],[ROW_TEMP]])</f>
        <v>5.2261344153849567</v>
      </c>
      <c r="I5" s="44" cm="1">
        <f t="array" aca="1" ref="I5" ca="1">INDEX(INDIRECT(CONCATENATE("'Nieuwe Loontabel'!",CHAR(65+MATCH(Tabel1[[#This Row],[Functiegroep]],'Nieuwe Loontabel'!B$1:J$1,0)),":",CHAR(65+MATCH(Tabel1[[#This Row],[Functiegroep]],'Nieuwe Loontabel'!B$1:J$1,0)))),Tabel1[[#This Row],[ROW_TEMP]])</f>
        <v>5.3384963053157337</v>
      </c>
      <c r="J5" s="7" cm="1">
        <f t="array" aca="1" ref="J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5.3384963053157337</v>
      </c>
      <c r="K5" s="7">
        <f ca="1">IF(Tabel1[[#This Row],[Uurloon]]&gt;Tabel1[[#This Row],[nieuw maximum]],Tabel1[[#This Row],[Uurloon]],0)</f>
        <v>0</v>
      </c>
      <c r="L5" s="1" cm="1">
        <f t="array" aca="1" ref="L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5.3384963053157337</v>
      </c>
      <c r="M5" s="42">
        <f ca="1">(100/Tabel1[[#This Row],[Uurloon]]*Tabel1[[#This Row],[Nieuw uurloon]])/100-1</f>
        <v>2.0744991456163042E-2</v>
      </c>
    </row>
    <row r="6" spans="1:13" x14ac:dyDescent="0.3">
      <c r="A6" s="8"/>
      <c r="B6" t="str">
        <f>Rekentool!B$12</f>
        <v>Tuincentra</v>
      </c>
      <c r="C6" s="6" t="s">
        <v>41</v>
      </c>
      <c r="D6" s="52">
        <v>6.3</v>
      </c>
      <c r="E6" s="1">
        <f ca="1">IF(LEN(Tabel1[[#This Row],[Functiegroep]])&gt;0,MAX(INDIRECT(CONCATENATE("'Oude Loontabel'!",CHAR(65+MATCH(Tabel1[[#This Row],[Functiegroep]],'Oude Loontabel'!B$1:J$1,0)),":",CHAR(65+MATCH(Tabel1[[#This Row],[Functiegroep]],'Oude Loontabel'!B$1:J$1,0))))),"")</f>
        <v>19.668208741530375</v>
      </c>
      <c r="F6" s="1">
        <f ca="1">IF(LEN(Tabel1[[#This Row],[Functiegroep]])&gt;0,MAX(INDIRECT(CONCATENATE("'Nieuwe Loontabel'!",CHAR(65+MATCH(Tabel1[[#This Row],[Functiegroep]],'Nieuwe Loontabel'!B$1:J$1,0)),":",CHAR(65+MATCH(Tabel1[[#This Row],[Functiegroep]],'Nieuwe Loontabel'!B$1:J$1,0))))),"")</f>
        <v>20.09107522947328</v>
      </c>
      <c r="G6" s="43">
        <f ca="1">MATCH(Tabel1[[#This Row],[Uurloon]],INDIRECT(CONCATENATE("'Match Loontabel'!",CHAR(65+MATCH(Tabel1[[#This Row],[Functiegroep]],'Match Loontabel'!B$1:J$1,0)),":",CHAR(65+MATCH(Tabel1[[#This Row],[Functiegroep]],'Match Loontabel'!B$1:J$1,0)))),1)</f>
        <v>4</v>
      </c>
      <c r="H6" s="44" cm="1">
        <f t="array" aca="1" ref="H6" ca="1">INDEX(INDIRECT(CONCATENATE("'Oude Loontabel'!",CHAR(65+MATCH(Tabel1[[#This Row],[Functiegroep]],'Oude Loontabel'!B$1:J$1,0)),":",CHAR(65+MATCH(Tabel1[[#This Row],[Functiegroep]],'Oude Loontabel'!B$1:J$1,0)))),Tabel1[[#This Row],[ROW_TEMP]])</f>
        <v>6.3003550920248124</v>
      </c>
      <c r="I6" s="44" cm="1">
        <f t="array" aca="1" ref="I6" ca="1">INDEX(INDIRECT(CONCATENATE("'Nieuwe Loontabel'!",CHAR(65+MATCH(Tabel1[[#This Row],[Functiegroep]],'Nieuwe Loontabel'!B$1:J$1,0)),":",CHAR(65+MATCH(Tabel1[[#This Row],[Functiegroep]],'Nieuwe Loontabel'!B$1:J$1,0)))),Tabel1[[#This Row],[ROW_TEMP]])</f>
        <v>6.4358127265033467</v>
      </c>
      <c r="J6" s="7" cm="1">
        <f t="array" aca="1" ref="J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6.4358127265033467</v>
      </c>
      <c r="K6" s="7">
        <f ca="1">IF(Tabel1[[#This Row],[Uurloon]]&gt;Tabel1[[#This Row],[nieuw maximum]],Tabel1[[#This Row],[Uurloon]],0)</f>
        <v>0</v>
      </c>
      <c r="L6" s="1" cm="1">
        <f t="array" aca="1" ref="L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6.4358127265033467</v>
      </c>
      <c r="M6" s="42">
        <f ca="1">(100/Tabel1[[#This Row],[Uurloon]]*Tabel1[[#This Row],[Nieuw uurloon]])/100-1</f>
        <v>2.155757563545202E-2</v>
      </c>
    </row>
    <row r="7" spans="1:13" x14ac:dyDescent="0.3">
      <c r="A7" s="6"/>
      <c r="B7" t="str">
        <f>Rekentool!B$12</f>
        <v>Tuincentra</v>
      </c>
      <c r="C7" s="6" t="s">
        <v>42</v>
      </c>
      <c r="D7" s="52">
        <v>9.7899999999999991</v>
      </c>
      <c r="E7" s="1">
        <f ca="1">IF(LEN(Tabel1[[#This Row],[Functiegroep]])&gt;0,MAX(INDIRECT(CONCATENATE("'Oude Loontabel'!",CHAR(65+MATCH(Tabel1[[#This Row],[Functiegroep]],'Oude Loontabel'!B$1:J$1,0)),":",CHAR(65+MATCH(Tabel1[[#This Row],[Functiegroep]],'Oude Loontabel'!B$1:J$1,0))))),"")</f>
        <v>21.532609188389177</v>
      </c>
      <c r="F7" s="1">
        <f ca="1">IF(LEN(Tabel1[[#This Row],[Functiegroep]])&gt;0,MAX(INDIRECT(CONCATENATE("'Nieuwe Loontabel'!",CHAR(65+MATCH(Tabel1[[#This Row],[Functiegroep]],'Nieuwe Loontabel'!B$1:J$1,0)),":",CHAR(65+MATCH(Tabel1[[#This Row],[Functiegroep]],'Nieuwe Loontabel'!B$1:J$1,0))))),"")</f>
        <v>21.995560285939547</v>
      </c>
      <c r="G7" s="43">
        <f ca="1">MATCH(Tabel1[[#This Row],[Uurloon]],INDIRECT(CONCATENATE("'Match Loontabel'!",CHAR(65+MATCH(Tabel1[[#This Row],[Functiegroep]],'Match Loontabel'!B$1:J$1,0)),":",CHAR(65+MATCH(Tabel1[[#This Row],[Functiegroep]],'Match Loontabel'!B$1:J$1,0)))),1)</f>
        <v>6</v>
      </c>
      <c r="H7" s="44" cm="1">
        <f t="array" aca="1" ref="H7" ca="1">INDEX(INDIRECT(CONCATENATE("'Oude Loontabel'!",CHAR(65+MATCH(Tabel1[[#This Row],[Functiegroep]],'Oude Loontabel'!B$1:J$1,0)),":",CHAR(65+MATCH(Tabel1[[#This Row],[Functiegroep]],'Oude Loontabel'!B$1:J$1,0)))),Tabel1[[#This Row],[ROW_TEMP]])</f>
        <v>9.7914160308602849</v>
      </c>
      <c r="I7" s="44" cm="1">
        <f t="array" aca="1" ref="I7" ca="1">INDEX(INDIRECT(CONCATENATE("'Nieuwe Loontabel'!",CHAR(65+MATCH(Tabel1[[#This Row],[Functiegroep]],'Nieuwe Loontabel'!B$1:J$1,0)),":",CHAR(65+MATCH(Tabel1[[#This Row],[Functiegroep]],'Nieuwe Loontabel'!B$1:J$1,0)))),Tabel1[[#This Row],[ROW_TEMP]])</f>
        <v>10.001931475523781</v>
      </c>
      <c r="J7" s="7" cm="1">
        <f t="array" aca="1" ref="J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10.001931475523781</v>
      </c>
      <c r="K7" s="7">
        <f ca="1">IF(Tabel1[[#This Row],[Uurloon]]&gt;Tabel1[[#This Row],[nieuw maximum]],Tabel1[[#This Row],[Uurloon]],0)</f>
        <v>0</v>
      </c>
      <c r="L7" s="1" cm="1">
        <f t="array" aca="1" ref="L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10.001931475523781</v>
      </c>
      <c r="M7" s="42">
        <f ca="1">(100/Tabel1[[#This Row],[Uurloon]]*Tabel1[[#This Row],[Nieuw uurloon]])/100-1</f>
        <v>2.1647750308864344E-2</v>
      </c>
    </row>
    <row r="8" spans="1:13" x14ac:dyDescent="0.3">
      <c r="A8" s="6"/>
      <c r="B8" t="str">
        <f>Rekentool!B$12</f>
        <v>Tuincentra</v>
      </c>
      <c r="C8" s="6" t="s">
        <v>43</v>
      </c>
      <c r="D8" s="52">
        <v>10.48</v>
      </c>
      <c r="E8" s="1">
        <f ca="1">IF(LEN(Tabel1[[#This Row],[Functiegroep]])&gt;0,MAX(INDIRECT(CONCATENATE("'Oude Loontabel'!",CHAR(65+MATCH(Tabel1[[#This Row],[Functiegroep]],'Oude Loontabel'!B$1:J$1,0)),":",CHAR(65+MATCH(Tabel1[[#This Row],[Functiegroep]],'Oude Loontabel'!B$1:J$1,0))))),"")</f>
        <v>23.500689668207951</v>
      </c>
      <c r="F8" s="1">
        <f ca="1">IF(LEN(Tabel1[[#This Row],[Functiegroep]])&gt;0,MAX(INDIRECT(CONCATENATE("'Nieuwe Loontabel'!",CHAR(65+MATCH(Tabel1[[#This Row],[Functiegroep]],'Nieuwe Loontabel'!B$1:J$1,0)),":",CHAR(65+MATCH(Tabel1[[#This Row],[Functiegroep]],'Nieuwe Loontabel'!B$1:J$1,0))))),"")</f>
        <v>24.00595449607442</v>
      </c>
      <c r="G8" s="43">
        <f ca="1">MATCH(Tabel1[[#This Row],[Uurloon]],INDIRECT(CONCATENATE("'Match Loontabel'!",CHAR(65+MATCH(Tabel1[[#This Row],[Functiegroep]],'Match Loontabel'!B$1:J$1,0)),":",CHAR(65+MATCH(Tabel1[[#This Row],[Functiegroep]],'Match Loontabel'!B$1:J$1,0)))),1)</f>
        <v>6</v>
      </c>
      <c r="H8" s="44" cm="1">
        <f t="array" aca="1" ref="H8" ca="1">INDEX(INDIRECT(CONCATENATE("'Oude Loontabel'!",CHAR(65+MATCH(Tabel1[[#This Row],[Functiegroep]],'Oude Loontabel'!B$1:J$1,0)),":",CHAR(65+MATCH(Tabel1[[#This Row],[Functiegroep]],'Oude Loontabel'!B$1:J$1,0)))),Tabel1[[#This Row],[ROW_TEMP]])</f>
        <v>10.476815153020507</v>
      </c>
      <c r="I8" s="44" cm="1">
        <f t="array" aca="1" ref="I8" ca="1">INDEX(INDIRECT(CONCATENATE("'Nieuwe Loontabel'!",CHAR(65+MATCH(Tabel1[[#This Row],[Functiegroep]],'Nieuwe Loontabel'!B$1:J$1,0)),":",CHAR(65+MATCH(Tabel1[[#This Row],[Functiegroep]],'Nieuwe Loontabel'!B$1:J$1,0)))),Tabel1[[#This Row],[ROW_TEMP]])</f>
        <v>10.702066678810448</v>
      </c>
      <c r="J8" s="7" cm="1">
        <f t="array" aca="1" ref="J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10.702066678810448</v>
      </c>
      <c r="K8" s="7">
        <f ca="1">IF(Tabel1[[#This Row],[Uurloon]]&gt;Tabel1[[#This Row],[nieuw maximum]],Tabel1[[#This Row],[Uurloon]],0)</f>
        <v>0</v>
      </c>
      <c r="L8" s="1" cm="1">
        <f t="array" aca="1" ref="L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10.702066678810448</v>
      </c>
      <c r="M8" s="42">
        <f ca="1">(100/Tabel1[[#This Row],[Uurloon]]*Tabel1[[#This Row],[Nieuw uurloon]])/100-1</f>
        <v>2.118956858878307E-2</v>
      </c>
    </row>
    <row r="9" spans="1:13" x14ac:dyDescent="0.3">
      <c r="A9" s="6"/>
      <c r="B9" t="str">
        <f>Rekentool!B$12</f>
        <v>Tuincentra</v>
      </c>
      <c r="C9" s="6" t="s">
        <v>44</v>
      </c>
      <c r="D9" s="52">
        <v>18.89</v>
      </c>
      <c r="E9" s="1">
        <f ca="1">IF(LEN(Tabel1[[#This Row],[Functiegroep]])&gt;0,MAX(INDIRECT(CONCATENATE("'Oude Loontabel'!",CHAR(65+MATCH(Tabel1[[#This Row],[Functiegroep]],'Oude Loontabel'!B$1:J$1,0)),":",CHAR(65+MATCH(Tabel1[[#This Row],[Functiegroep]],'Oude Loontabel'!B$1:J$1,0))))),"")</f>
        <v>25.427746221001001</v>
      </c>
      <c r="F9" s="1">
        <f ca="1">IF(LEN(Tabel1[[#This Row],[Functiegroep]])&gt;0,MAX(INDIRECT(CONCATENATE("'Nieuwe Loontabel'!",CHAR(65+MATCH(Tabel1[[#This Row],[Functiegroep]],'Nieuwe Loontabel'!B$1:J$1,0)),":",CHAR(65+MATCH(Tabel1[[#This Row],[Functiegroep]],'Nieuwe Loontabel'!B$1:J$1,0))))),"")</f>
        <v>25.974442764752524</v>
      </c>
      <c r="G9" s="43">
        <f ca="1">MATCH(Tabel1[[#This Row],[Uurloon]],INDIRECT(CONCATENATE("'Match Loontabel'!",CHAR(65+MATCH(Tabel1[[#This Row],[Functiegroep]],'Match Loontabel'!B$1:J$1,0)),":",CHAR(65+MATCH(Tabel1[[#This Row],[Functiegroep]],'Match Loontabel'!B$1:J$1,0)))),1)</f>
        <v>8</v>
      </c>
      <c r="H9" s="44" cm="1">
        <f t="array" aca="1" ref="H9" ca="1">INDEX(INDIRECT(CONCATENATE("'Oude Loontabel'!",CHAR(65+MATCH(Tabel1[[#This Row],[Functiegroep]],'Oude Loontabel'!B$1:J$1,0)),":",CHAR(65+MATCH(Tabel1[[#This Row],[Functiegroep]],'Oude Loontabel'!B$1:J$1,0)))),Tabel1[[#This Row],[ROW_TEMP]])</f>
        <v>18.893189992613646</v>
      </c>
      <c r="I9" s="44" cm="1">
        <f t="array" aca="1" ref="I9" ca="1">INDEX(INDIRECT(CONCATENATE("'Nieuwe Loontabel'!",CHAR(65+MATCH(Tabel1[[#This Row],[Functiegroep]],'Nieuwe Loontabel'!B$1:J$1,0)),":",CHAR(65+MATCH(Tabel1[[#This Row],[Functiegroep]],'Nieuwe Loontabel'!B$1:J$1,0)))),Tabel1[[#This Row],[ROW_TEMP]])</f>
        <v>19.29939357745484</v>
      </c>
      <c r="J9" s="7" cm="1">
        <f t="array" aca="1" ref="J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19.29939357745484</v>
      </c>
      <c r="K9" s="7">
        <f ca="1">IF(Tabel1[[#This Row],[Uurloon]]&gt;Tabel1[[#This Row],[nieuw maximum]],Tabel1[[#This Row],[Uurloon]],0)</f>
        <v>0</v>
      </c>
      <c r="L9" s="1" cm="1">
        <f t="array" aca="1" ref="L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19.29939357745484</v>
      </c>
      <c r="M9" s="42">
        <f ca="1">(100/Tabel1[[#This Row],[Uurloon]]*Tabel1[[#This Row],[Nieuw uurloon]])/100-1</f>
        <v>2.1672502776857616E-2</v>
      </c>
    </row>
    <row r="10" spans="1:13" x14ac:dyDescent="0.3">
      <c r="A10" s="9"/>
      <c r="B10" t="str">
        <f>Rekentool!B$12</f>
        <v>Tuincentra</v>
      </c>
      <c r="C10" s="9" t="s">
        <v>45</v>
      </c>
      <c r="D10" s="52">
        <v>20.5</v>
      </c>
      <c r="E10" s="1">
        <f ca="1">IF(LEN(Tabel1[[#This Row],[Functiegroep]])&gt;0,MAX(INDIRECT(CONCATENATE("'Oude Loontabel'!",CHAR(65+MATCH(Tabel1[[#This Row],[Functiegroep]],'Oude Loontabel'!B$1:J$1,0)),":",CHAR(65+MATCH(Tabel1[[#This Row],[Functiegroep]],'Oude Loontabel'!B$1:J$1,0))))),"")</f>
        <v>27.589104649786083</v>
      </c>
      <c r="F10" s="1">
        <f ca="1">IF(LEN(Tabel1[[#This Row],[Functiegroep]])&gt;0,MAX(INDIRECT(CONCATENATE("'Nieuwe Loontabel'!",CHAR(65+MATCH(Tabel1[[#This Row],[Functiegroep]],'Nieuwe Loontabel'!B$1:J$1,0)),":",CHAR(65+MATCH(Tabel1[[#This Row],[Functiegroep]],'Nieuwe Loontabel'!B$1:J$1,0))))),"")</f>
        <v>28.182270399756483</v>
      </c>
      <c r="G10" s="43">
        <f ca="1">MATCH(Tabel1[[#This Row],[Uurloon]],INDIRECT(CONCATENATE("'Match Loontabel'!",CHAR(65+MATCH(Tabel1[[#This Row],[Functiegroep]],'Match Loontabel'!B$1:J$1,0)),":",CHAR(65+MATCH(Tabel1[[#This Row],[Functiegroep]],'Match Loontabel'!B$1:J$1,0)))),1)</f>
        <v>8</v>
      </c>
      <c r="H10" s="44" cm="1">
        <f t="array" aca="1" ref="H10" ca="1">INDEX(INDIRECT(CONCATENATE("'Oude Loontabel'!",CHAR(65+MATCH(Tabel1[[#This Row],[Functiegroep]],'Oude Loontabel'!B$1:J$1,0)),":",CHAR(65+MATCH(Tabel1[[#This Row],[Functiegroep]],'Oude Loontabel'!B$1:J$1,0)))),Tabel1[[#This Row],[ROW_TEMP]])</f>
        <v>20.499111141985804</v>
      </c>
      <c r="I10" s="44" cm="1">
        <f t="array" aca="1" ref="I10" ca="1">INDEX(INDIRECT(CONCATENATE("'Nieuwe Loontabel'!",CHAR(65+MATCH(Tabel1[[#This Row],[Functiegroep]],'Nieuwe Loontabel'!B$1:J$1,0)),":",CHAR(65+MATCH(Tabel1[[#This Row],[Functiegroep]],'Nieuwe Loontabel'!B$1:J$1,0)))),Tabel1[[#This Row],[ROW_TEMP]])</f>
        <v>20.9398420315385</v>
      </c>
      <c r="J10" s="7" cm="1">
        <f t="array" aca="1" ref="J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20.9398420315385</v>
      </c>
      <c r="K10" s="7">
        <f ca="1">IF(Tabel1[[#This Row],[Uurloon]]&gt;Tabel1[[#This Row],[nieuw maximum]],Tabel1[[#This Row],[Uurloon]],0)</f>
        <v>0</v>
      </c>
      <c r="L10" s="1" cm="1">
        <f t="array" aca="1" ref="L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20.9398420315385</v>
      </c>
      <c r="M10" s="42">
        <f ca="1">(100/Tabel1[[#This Row],[Uurloon]]*Tabel1[[#This Row],[Nieuw uurloon]])/100-1</f>
        <v>2.1455708855536493E-2</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9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D0673-30BA-488C-B1E8-95273066393A}">
  <dimension ref="A1:J23"/>
  <sheetViews>
    <sheetView zoomScaleNormal="100" workbookViewId="0">
      <selection activeCell="G21" sqref="G21"/>
    </sheetView>
  </sheetViews>
  <sheetFormatPr defaultRowHeight="14.4" x14ac:dyDescent="0.3"/>
  <sheetData>
    <row r="1" spans="1:10" x14ac:dyDescent="0.3">
      <c r="A1" s="25" t="s">
        <v>30</v>
      </c>
      <c r="B1" s="25" t="s">
        <v>38</v>
      </c>
      <c r="C1" s="25" t="s">
        <v>11</v>
      </c>
      <c r="D1" s="25" t="s">
        <v>39</v>
      </c>
      <c r="E1" s="25" t="s">
        <v>40</v>
      </c>
      <c r="F1" s="25" t="s">
        <v>41</v>
      </c>
      <c r="G1" s="25" t="s">
        <v>42</v>
      </c>
      <c r="H1" s="25" t="s">
        <v>43</v>
      </c>
      <c r="I1" s="25" t="s">
        <v>44</v>
      </c>
      <c r="J1" s="25" t="s">
        <v>45</v>
      </c>
    </row>
    <row r="2" spans="1:10" x14ac:dyDescent="0.3">
      <c r="A2" s="26" t="s">
        <v>46</v>
      </c>
      <c r="B2" s="34">
        <f>IF('Oude Loontabel'!B2="","",ROUND('Oude Loontabel'!B2,2))</f>
        <v>4.32</v>
      </c>
      <c r="C2" s="34">
        <f>IF('Oude Loontabel'!C2="","",ROUND('Oude Loontabel'!C2,2))</f>
        <v>4.32</v>
      </c>
      <c r="D2" s="34">
        <f>IF('Oude Loontabel'!D2="","",ROUND('Oude Loontabel'!D2,2))</f>
        <v>4.41</v>
      </c>
      <c r="E2" s="34" t="str">
        <f>IF('Oude Loontabel'!E2="","",ROUND('Oude Loontabel'!E2,2))</f>
        <v/>
      </c>
      <c r="F2" s="34" t="str">
        <f>IF('Oude Loontabel'!F2="","",ROUND('Oude Loontabel'!F2,2))</f>
        <v/>
      </c>
      <c r="G2" s="34" t="str">
        <f>IF('Oude Loontabel'!G2="","",ROUND('Oude Loontabel'!G2,2))</f>
        <v/>
      </c>
      <c r="H2" s="34" t="str">
        <f>IF('Oude Loontabel'!H2="","",ROUND('Oude Loontabel'!H2,2))</f>
        <v/>
      </c>
      <c r="I2" s="34" t="str">
        <f>IF('Oude Loontabel'!I2="","",ROUND('Oude Loontabel'!I2,2))</f>
        <v/>
      </c>
      <c r="J2" s="34" t="str">
        <f>IF('Oude Loontabel'!J2="","",ROUND('Oude Loontabel'!J2,2))</f>
        <v/>
      </c>
    </row>
    <row r="3" spans="1:10" x14ac:dyDescent="0.3">
      <c r="A3" s="25" t="s">
        <v>47</v>
      </c>
      <c r="B3" s="34">
        <f>IF('Oude Loontabel'!B3="","",ROUND('Oude Loontabel'!B3,2))</f>
        <v>4.97</v>
      </c>
      <c r="C3" s="34">
        <f>IF('Oude Loontabel'!C3="","",ROUND('Oude Loontabel'!C3,2))</f>
        <v>4.97</v>
      </c>
      <c r="D3" s="35">
        <f>IF('Oude Loontabel'!D3="","",ROUND('Oude Loontabel'!D3,2))</f>
        <v>5.07</v>
      </c>
      <c r="E3" s="35">
        <f>IF('Oude Loontabel'!E3="","",ROUND('Oude Loontabel'!E3,2))</f>
        <v>5.23</v>
      </c>
      <c r="F3" s="35" t="str">
        <f>IF('Oude Loontabel'!F3="","",ROUND('Oude Loontabel'!F3,2))</f>
        <v/>
      </c>
      <c r="G3" s="35" t="str">
        <f>IF('Oude Loontabel'!G3="","",ROUND('Oude Loontabel'!G3,2))</f>
        <v/>
      </c>
      <c r="H3" s="35" t="str">
        <f>IF('Oude Loontabel'!H3="","",ROUND('Oude Loontabel'!H3,2))</f>
        <v/>
      </c>
      <c r="I3" s="35" t="str">
        <f>IF('Oude Loontabel'!I3="","",ROUND('Oude Loontabel'!I3,2))</f>
        <v/>
      </c>
      <c r="J3" s="35" t="str">
        <f>IF('Oude Loontabel'!J3="","",ROUND('Oude Loontabel'!J3,2))</f>
        <v/>
      </c>
    </row>
    <row r="4" spans="1:10" x14ac:dyDescent="0.3">
      <c r="A4" s="25" t="s">
        <v>48</v>
      </c>
      <c r="B4" s="34">
        <f>IF('Oude Loontabel'!B4="","",ROUND('Oude Loontabel'!B4,2))</f>
        <v>5.69</v>
      </c>
      <c r="C4" s="34">
        <f>IF('Oude Loontabel'!C4="","",ROUND('Oude Loontabel'!C4,2))</f>
        <v>5.69</v>
      </c>
      <c r="D4" s="35">
        <f>IF('Oude Loontabel'!D4="","",ROUND('Oude Loontabel'!D4,2))</f>
        <v>5.8</v>
      </c>
      <c r="E4" s="35">
        <f>IF('Oude Loontabel'!E4="","",ROUND('Oude Loontabel'!E4,2))</f>
        <v>5.98</v>
      </c>
      <c r="F4" s="35">
        <f>IF('Oude Loontabel'!F4="","",ROUND('Oude Loontabel'!F4,2))</f>
        <v>6.3</v>
      </c>
      <c r="G4" s="35" t="str">
        <f>IF('Oude Loontabel'!G4="","",ROUND('Oude Loontabel'!G4,2))</f>
        <v/>
      </c>
      <c r="H4" s="35" t="str">
        <f>IF('Oude Loontabel'!H4="","",ROUND('Oude Loontabel'!H4,2))</f>
        <v/>
      </c>
      <c r="I4" s="35" t="str">
        <f>IF('Oude Loontabel'!I4="","",ROUND('Oude Loontabel'!I4,2))</f>
        <v/>
      </c>
      <c r="J4" s="35" t="str">
        <f>IF('Oude Loontabel'!J4="","",ROUND('Oude Loontabel'!J4,2))</f>
        <v/>
      </c>
    </row>
    <row r="5" spans="1:10" x14ac:dyDescent="0.3">
      <c r="A5" s="25" t="s">
        <v>49</v>
      </c>
      <c r="B5" s="34">
        <f>IF('Oude Loontabel'!B5="","",ROUND('Oude Loontabel'!B5,2))</f>
        <v>7.2</v>
      </c>
      <c r="C5" s="34">
        <f>IF('Oude Loontabel'!C5="","",ROUND('Oude Loontabel'!C5,2))</f>
        <v>7.2</v>
      </c>
      <c r="D5" s="35">
        <f>IF('Oude Loontabel'!D5="","",ROUND('Oude Loontabel'!D5,2))</f>
        <v>7.34</v>
      </c>
      <c r="E5" s="35">
        <f>IF('Oude Loontabel'!E5="","",ROUND('Oude Loontabel'!E5,2))</f>
        <v>7.45</v>
      </c>
      <c r="F5" s="35">
        <f>IF('Oude Loontabel'!F5="","",ROUND('Oude Loontabel'!F5,2))</f>
        <v>7.6</v>
      </c>
      <c r="G5" s="35" t="str">
        <f>IF('Oude Loontabel'!G5="","",ROUND('Oude Loontabel'!G5,2))</f>
        <v/>
      </c>
      <c r="H5" s="35" t="str">
        <f>IF('Oude Loontabel'!H5="","",ROUND('Oude Loontabel'!H5,2))</f>
        <v/>
      </c>
      <c r="I5" s="35" t="str">
        <f>IF('Oude Loontabel'!I5="","",ROUND('Oude Loontabel'!I5,2))</f>
        <v/>
      </c>
      <c r="J5" s="35" t="str">
        <f>IF('Oude Loontabel'!J5="","",ROUND('Oude Loontabel'!J5,2))</f>
        <v/>
      </c>
    </row>
    <row r="6" spans="1:10" x14ac:dyDescent="0.3">
      <c r="A6" s="25" t="s">
        <v>50</v>
      </c>
      <c r="B6" s="34">
        <f>IF('Oude Loontabel'!B6="","",ROUND('Oude Loontabel'!B6,2))</f>
        <v>8.64</v>
      </c>
      <c r="C6" s="34">
        <f>IF('Oude Loontabel'!C6="","",ROUND('Oude Loontabel'!C6,2))</f>
        <v>8.64</v>
      </c>
      <c r="D6" s="35">
        <f>IF('Oude Loontabel'!D6="","",ROUND('Oude Loontabel'!D6,2))</f>
        <v>8.81</v>
      </c>
      <c r="E6" s="35">
        <f>IF('Oude Loontabel'!E6="","",ROUND('Oude Loontabel'!E6,2))</f>
        <v>8.94</v>
      </c>
      <c r="F6" s="35">
        <f>IF('Oude Loontabel'!F6="","",ROUND('Oude Loontabel'!F6,2))</f>
        <v>9.1199999999999992</v>
      </c>
      <c r="G6" s="35">
        <f>IF('Oude Loontabel'!G6="","",ROUND('Oude Loontabel'!G6,2))</f>
        <v>9.7899999999999991</v>
      </c>
      <c r="H6" s="35">
        <f>IF('Oude Loontabel'!H6="","",ROUND('Oude Loontabel'!H6,2))</f>
        <v>10.48</v>
      </c>
      <c r="I6" s="35" t="str">
        <f>IF('Oude Loontabel'!I6="","",ROUND('Oude Loontabel'!I6,2))</f>
        <v/>
      </c>
      <c r="J6" s="35" t="str">
        <f>IF('Oude Loontabel'!J6="","",ROUND('Oude Loontabel'!J6,2))</f>
        <v/>
      </c>
    </row>
    <row r="7" spans="1:10" x14ac:dyDescent="0.3">
      <c r="A7" s="25" t="s">
        <v>51</v>
      </c>
      <c r="B7" s="34">
        <f>IF('Oude Loontabel'!B7="","",ROUND('Oude Loontabel'!B7,2))</f>
        <v>11.52</v>
      </c>
      <c r="C7" s="34">
        <f>IF('Oude Loontabel'!C7="","",ROUND('Oude Loontabel'!C7,2))</f>
        <v>11.52</v>
      </c>
      <c r="D7" s="35">
        <f>IF('Oude Loontabel'!D7="","",ROUND('Oude Loontabel'!D7,2))</f>
        <v>11.75</v>
      </c>
      <c r="E7" s="35">
        <f>IF('Oude Loontabel'!E7="","",ROUND('Oude Loontabel'!E7,2))</f>
        <v>11.92</v>
      </c>
      <c r="F7" s="35">
        <f>IF('Oude Loontabel'!F7="","",ROUND('Oude Loontabel'!F7,2))</f>
        <v>12.16</v>
      </c>
      <c r="G7" s="35">
        <f>IF('Oude Loontabel'!G7="","",ROUND('Oude Loontabel'!G7,2))</f>
        <v>13.06</v>
      </c>
      <c r="H7" s="35">
        <f>IF('Oude Loontabel'!H7="","",ROUND('Oude Loontabel'!H7,2))</f>
        <v>13.97</v>
      </c>
      <c r="I7" s="35" t="str">
        <f>IF('Oude Loontabel'!I7="","",ROUND('Oude Loontabel'!I7,2))</f>
        <v/>
      </c>
      <c r="J7" s="35" t="str">
        <f>IF('Oude Loontabel'!J7="","",ROUND('Oude Loontabel'!J7,2))</f>
        <v/>
      </c>
    </row>
    <row r="8" spans="1:10" x14ac:dyDescent="0.3">
      <c r="A8" s="26" t="s">
        <v>52</v>
      </c>
      <c r="B8" s="36">
        <f>IF('Oude Loontabel'!B8="","",ROUND('Oude Loontabel'!B8,2))</f>
        <v>14.4</v>
      </c>
      <c r="C8" s="36">
        <f>IF('Oude Loontabel'!C8="","",ROUND('Oude Loontabel'!C8,2))</f>
        <v>14.4</v>
      </c>
      <c r="D8" s="36">
        <f>IF('Oude Loontabel'!D8="","",ROUND('Oude Loontabel'!D8,2))</f>
        <v>14.69</v>
      </c>
      <c r="E8" s="36">
        <f>IF('Oude Loontabel'!E8="","",ROUND('Oude Loontabel'!E8,2))</f>
        <v>14.91</v>
      </c>
      <c r="F8" s="36">
        <f>IF('Oude Loontabel'!F8="","",ROUND('Oude Loontabel'!F8,2))</f>
        <v>15.2</v>
      </c>
      <c r="G8" s="36">
        <f>IF('Oude Loontabel'!G8="","",ROUND('Oude Loontabel'!G8,2))</f>
        <v>16.32</v>
      </c>
      <c r="H8" s="36">
        <f>IF('Oude Loontabel'!H8="","",ROUND('Oude Loontabel'!H8,2))</f>
        <v>17.46</v>
      </c>
      <c r="I8" s="36">
        <f>IF('Oude Loontabel'!I8="","",ROUND('Oude Loontabel'!I8,2))</f>
        <v>18.89</v>
      </c>
      <c r="J8" s="36">
        <f>IF('Oude Loontabel'!J8="","",ROUND('Oude Loontabel'!J8,2))</f>
        <v>20.5</v>
      </c>
    </row>
    <row r="9" spans="1:10" x14ac:dyDescent="0.3">
      <c r="A9" s="26">
        <v>1</v>
      </c>
      <c r="B9" s="34">
        <f>IF('Oude Loontabel'!B9="","",ROUND('Oude Loontabel'!B9,2))</f>
        <v>14.54</v>
      </c>
      <c r="C9" s="34">
        <f>IF('Oude Loontabel'!C9="","",ROUND('Oude Loontabel'!C9,2))</f>
        <v>14.54</v>
      </c>
      <c r="D9" s="35">
        <f>IF('Oude Loontabel'!D9="","",ROUND('Oude Loontabel'!D9,2))</f>
        <v>14.83</v>
      </c>
      <c r="E9" s="35">
        <f>IF('Oude Loontabel'!E9="","",ROUND('Oude Loontabel'!E9,2))</f>
        <v>15.13</v>
      </c>
      <c r="F9" s="35">
        <f>IF('Oude Loontabel'!F9="","",ROUND('Oude Loontabel'!F9,2))</f>
        <v>15.51</v>
      </c>
      <c r="G9" s="35">
        <f>IF('Oude Loontabel'!G9="","",ROUND('Oude Loontabel'!G9,2))</f>
        <v>16.649999999999999</v>
      </c>
      <c r="H9" s="35">
        <f>IF('Oude Loontabel'!H9="","",ROUND('Oude Loontabel'!H9,2))</f>
        <v>17.809999999999999</v>
      </c>
      <c r="I9" s="35">
        <f>IF('Oude Loontabel'!I9="","",ROUND('Oude Loontabel'!I9,2))</f>
        <v>19.27</v>
      </c>
      <c r="J9" s="35">
        <f>IF('Oude Loontabel'!J9="","",ROUND('Oude Loontabel'!J9,2))</f>
        <v>20.91</v>
      </c>
    </row>
    <row r="10" spans="1:10" x14ac:dyDescent="0.3">
      <c r="A10" s="26">
        <v>2</v>
      </c>
      <c r="B10" s="34">
        <f>IF('Oude Loontabel'!B10="","",ROUND('Oude Loontabel'!B10,2))</f>
        <v>14.69</v>
      </c>
      <c r="C10" s="34">
        <f>IF('Oude Loontabel'!C10="","",ROUND('Oude Loontabel'!C10,2))</f>
        <v>14.69</v>
      </c>
      <c r="D10" s="35">
        <f>IF('Oude Loontabel'!D10="","",ROUND('Oude Loontabel'!D10,2))</f>
        <v>14.98</v>
      </c>
      <c r="E10" s="35">
        <f>IF('Oude Loontabel'!E10="","",ROUND('Oude Loontabel'!E10,2))</f>
        <v>15.36</v>
      </c>
      <c r="F10" s="35">
        <f>IF('Oude Loontabel'!F10="","",ROUND('Oude Loontabel'!F10,2))</f>
        <v>15.82</v>
      </c>
      <c r="G10" s="35">
        <f>IF('Oude Loontabel'!G10="","",ROUND('Oude Loontabel'!G10,2))</f>
        <v>16.98</v>
      </c>
      <c r="H10" s="35">
        <f>IF('Oude Loontabel'!H10="","",ROUND('Oude Loontabel'!H10,2))</f>
        <v>18.170000000000002</v>
      </c>
      <c r="I10" s="35">
        <f>IF('Oude Loontabel'!I10="","",ROUND('Oude Loontabel'!I10,2))</f>
        <v>19.66</v>
      </c>
      <c r="J10" s="35">
        <f>IF('Oude Loontabel'!J10="","",ROUND('Oude Loontabel'!J10,2))</f>
        <v>21.33</v>
      </c>
    </row>
    <row r="11" spans="1:10" x14ac:dyDescent="0.3">
      <c r="A11" s="26">
        <v>3</v>
      </c>
      <c r="B11" s="34">
        <f>IF('Oude Loontabel'!B11="","",ROUND('Oude Loontabel'!B11,2))</f>
        <v>14.83</v>
      </c>
      <c r="C11" s="34">
        <f>IF('Oude Loontabel'!C11="","",ROUND('Oude Loontabel'!C11,2))</f>
        <v>14.83</v>
      </c>
      <c r="D11" s="35">
        <f>IF('Oude Loontabel'!D11="","",ROUND('Oude Loontabel'!D11,2))</f>
        <v>15.13</v>
      </c>
      <c r="E11" s="35">
        <f>IF('Oude Loontabel'!E11="","",ROUND('Oude Loontabel'!E11,2))</f>
        <v>15.59</v>
      </c>
      <c r="F11" s="35">
        <f>IF('Oude Loontabel'!F11="","",ROUND('Oude Loontabel'!F11,2))</f>
        <v>16.13</v>
      </c>
      <c r="G11" s="35">
        <f>IF('Oude Loontabel'!G11="","",ROUND('Oude Loontabel'!G11,2))</f>
        <v>17.32</v>
      </c>
      <c r="H11" s="35">
        <f>IF('Oude Loontabel'!H11="","",ROUND('Oude Loontabel'!H11,2))</f>
        <v>18.53</v>
      </c>
      <c r="I11" s="35">
        <f>IF('Oude Loontabel'!I11="","",ROUND('Oude Loontabel'!I11,2))</f>
        <v>20.05</v>
      </c>
      <c r="J11" s="35">
        <f>IF('Oude Loontabel'!J11="","",ROUND('Oude Loontabel'!J11,2))</f>
        <v>21.75</v>
      </c>
    </row>
    <row r="12" spans="1:10" x14ac:dyDescent="0.3">
      <c r="A12" s="26">
        <v>4</v>
      </c>
      <c r="B12" s="37">
        <f>IF('Oude Loontabel'!B12="","",ROUND('Oude Loontabel'!B12,2))</f>
        <v>15.13</v>
      </c>
      <c r="C12" s="37">
        <f>IF('Oude Loontabel'!C12="","",ROUND('Oude Loontabel'!C12,2))</f>
        <v>15.13</v>
      </c>
      <c r="D12" s="35">
        <f>IF('Oude Loontabel'!D12="","",ROUND('Oude Loontabel'!D12,2))</f>
        <v>15.28</v>
      </c>
      <c r="E12" s="35">
        <f>IF('Oude Loontabel'!E12="","",ROUND('Oude Loontabel'!E12,2))</f>
        <v>15.82</v>
      </c>
      <c r="F12" s="35">
        <f>IF('Oude Loontabel'!F12="","",ROUND('Oude Loontabel'!F12,2))</f>
        <v>16.46</v>
      </c>
      <c r="G12" s="35">
        <f>IF('Oude Loontabel'!G12="","",ROUND('Oude Loontabel'!G12,2))</f>
        <v>17.66</v>
      </c>
      <c r="H12" s="35">
        <f>IF('Oude Loontabel'!H12="","",ROUND('Oude Loontabel'!H12,2))</f>
        <v>18.899999999999999</v>
      </c>
      <c r="I12" s="35">
        <f>IF('Oude Loontabel'!I12="","",ROUND('Oude Loontabel'!I12,2))</f>
        <v>20.45</v>
      </c>
      <c r="J12" s="35">
        <f>IF('Oude Loontabel'!J12="","",ROUND('Oude Loontabel'!J12,2))</f>
        <v>22.19</v>
      </c>
    </row>
    <row r="13" spans="1:10" x14ac:dyDescent="0.3">
      <c r="A13" s="26">
        <v>5</v>
      </c>
      <c r="B13" s="37">
        <f>IF('Oude Loontabel'!B13="","",ROUND('Oude Loontabel'!B13,2))</f>
        <v>15.43</v>
      </c>
      <c r="C13" s="50">
        <f>IF('Oude Loontabel'!C13="","",ROUND('Oude Loontabel'!C13,2))</f>
        <v>15.43</v>
      </c>
      <c r="D13" s="37">
        <f>IF('Oude Loontabel'!D13="","",ROUND('Oude Loontabel'!D13,2))</f>
        <v>15.59</v>
      </c>
      <c r="E13" s="35">
        <f>IF('Oude Loontabel'!E13="","",ROUND('Oude Loontabel'!E13,2))</f>
        <v>16.059999999999999</v>
      </c>
      <c r="F13" s="35">
        <f>IF('Oude Loontabel'!F13="","",ROUND('Oude Loontabel'!F13,2))</f>
        <v>16.79</v>
      </c>
      <c r="G13" s="35">
        <f>IF('Oude Loontabel'!G13="","",ROUND('Oude Loontabel'!G13,2))</f>
        <v>18.02</v>
      </c>
      <c r="H13" s="35">
        <f>IF('Oude Loontabel'!H13="","",ROUND('Oude Loontabel'!H13,2))</f>
        <v>19.28</v>
      </c>
      <c r="I13" s="35">
        <f>IF('Oude Loontabel'!I13="","",ROUND('Oude Loontabel'!I13,2))</f>
        <v>20.86</v>
      </c>
      <c r="J13" s="35">
        <f>IF('Oude Loontabel'!J13="","",ROUND('Oude Loontabel'!J13,2))</f>
        <v>22.63</v>
      </c>
    </row>
    <row r="14" spans="1:10" x14ac:dyDescent="0.3">
      <c r="A14" s="25">
        <v>6</v>
      </c>
      <c r="B14" s="37">
        <f>IF('Oude Loontabel'!B14="","",ROUND('Oude Loontabel'!B14,2))</f>
        <v>15.74</v>
      </c>
      <c r="C14" s="50">
        <f>IF('Oude Loontabel'!C14="","",ROUND('Oude Loontabel'!C14,2))</f>
        <v>15.74</v>
      </c>
      <c r="D14" s="37">
        <f>IF('Oude Loontabel'!D14="","",ROUND('Oude Loontabel'!D14,2))</f>
        <v>15.9</v>
      </c>
      <c r="E14" s="37">
        <f>IF('Oude Loontabel'!E14="","",ROUND('Oude Loontabel'!E14,2))</f>
        <v>16.38</v>
      </c>
      <c r="F14" s="35">
        <f>IF('Oude Loontabel'!F14="","",ROUND('Oude Loontabel'!F14,2))</f>
        <v>17.12</v>
      </c>
      <c r="G14" s="35">
        <f>IF('Oude Loontabel'!G14="","",ROUND('Oude Loontabel'!G14,2))</f>
        <v>18.38</v>
      </c>
      <c r="H14" s="35">
        <f>IF('Oude Loontabel'!H14="","",ROUND('Oude Loontabel'!H14,2))</f>
        <v>19.66</v>
      </c>
      <c r="I14" s="35">
        <f>IF('Oude Loontabel'!I14="","",ROUND('Oude Loontabel'!I14,2))</f>
        <v>21.28</v>
      </c>
      <c r="J14" s="35">
        <f>IF('Oude Loontabel'!J14="","",ROUND('Oude Loontabel'!J14,2))</f>
        <v>23.09</v>
      </c>
    </row>
    <row r="15" spans="1:10" x14ac:dyDescent="0.3">
      <c r="A15" s="25">
        <v>7</v>
      </c>
      <c r="B15" s="37">
        <f>IF('Oude Loontabel'!B15="","",ROUND('Oude Loontabel'!B15,2))</f>
        <v>16.059999999999999</v>
      </c>
      <c r="C15" s="37">
        <f>IF('Oude Loontabel'!C15="","",ROUND('Oude Loontabel'!C15,2))</f>
        <v>16.059999999999999</v>
      </c>
      <c r="D15" s="37">
        <f>IF('Oude Loontabel'!D15="","",ROUND('Oude Loontabel'!D15,2))</f>
        <v>16.22</v>
      </c>
      <c r="E15" s="37">
        <f>IF('Oude Loontabel'!E15="","",ROUND('Oude Loontabel'!E15,2))</f>
        <v>16.71</v>
      </c>
      <c r="F15" s="35">
        <f>IF('Oude Loontabel'!F15="","",ROUND('Oude Loontabel'!F15,2))</f>
        <v>17.46</v>
      </c>
      <c r="G15" s="35">
        <f>IF('Oude Loontabel'!G15="","",ROUND('Oude Loontabel'!G15,2))</f>
        <v>18.75</v>
      </c>
      <c r="H15" s="35">
        <f>IF('Oude Loontabel'!H15="","",ROUND('Oude Loontabel'!H15,2))</f>
        <v>20.059999999999999</v>
      </c>
      <c r="I15" s="35">
        <f>IF('Oude Loontabel'!I15="","",ROUND('Oude Loontabel'!I15,2))</f>
        <v>21.7</v>
      </c>
      <c r="J15" s="35">
        <f>IF('Oude Loontabel'!J15="","",ROUND('Oude Loontabel'!J15,2))</f>
        <v>23.55</v>
      </c>
    </row>
    <row r="16" spans="1:10" x14ac:dyDescent="0.3">
      <c r="A16" s="25">
        <v>8</v>
      </c>
      <c r="B16" s="35" t="str">
        <f>IF('Oude Loontabel'!B16="","",ROUND('Oude Loontabel'!B16,2))</f>
        <v/>
      </c>
      <c r="C16" s="35" t="str">
        <f>IF('Oude Loontabel'!C16="","",ROUND('Oude Loontabel'!C16,2))</f>
        <v/>
      </c>
      <c r="D16" s="37">
        <f>IF('Oude Loontabel'!D16="","",ROUND('Oude Loontabel'!D16,2))</f>
        <v>16.54</v>
      </c>
      <c r="E16" s="37">
        <f>IF('Oude Loontabel'!E16="","",ROUND('Oude Loontabel'!E16,2))</f>
        <v>17.04</v>
      </c>
      <c r="F16" s="37">
        <f>IF('Oude Loontabel'!F16="","",ROUND('Oude Loontabel'!F16,2))</f>
        <v>17.809999999999999</v>
      </c>
      <c r="G16" s="35">
        <f>IF('Oude Loontabel'!G16="","",ROUND('Oude Loontabel'!G16,2))</f>
        <v>19.12</v>
      </c>
      <c r="H16" s="35">
        <f>IF('Oude Loontabel'!H16="","",ROUND('Oude Loontabel'!H16,2))</f>
        <v>20.46</v>
      </c>
      <c r="I16" s="35">
        <f>IF('Oude Loontabel'!I16="","",ROUND('Oude Loontabel'!I16,2))</f>
        <v>22.14</v>
      </c>
      <c r="J16" s="35">
        <f>IF('Oude Loontabel'!J16="","",ROUND('Oude Loontabel'!J16,2))</f>
        <v>24.02</v>
      </c>
    </row>
    <row r="17" spans="1:10" x14ac:dyDescent="0.3">
      <c r="A17" s="25">
        <v>9</v>
      </c>
      <c r="B17" s="35" t="str">
        <f>IF('Oude Loontabel'!B17="","",ROUND('Oude Loontabel'!B17,2))</f>
        <v/>
      </c>
      <c r="C17" s="35" t="str">
        <f>IF('Oude Loontabel'!C17="","",ROUND('Oude Loontabel'!C17,2))</f>
        <v/>
      </c>
      <c r="D17" s="35" t="str">
        <f>IF('Oude Loontabel'!D17="","",ROUND('Oude Loontabel'!D17,2))</f>
        <v/>
      </c>
      <c r="E17" s="37">
        <f>IF('Oude Loontabel'!E17="","",ROUND('Oude Loontabel'!E17,2))</f>
        <v>17.38</v>
      </c>
      <c r="F17" s="37">
        <f>IF('Oude Loontabel'!F17="","",ROUND('Oude Loontabel'!F17,2))</f>
        <v>18.170000000000002</v>
      </c>
      <c r="G17" s="37">
        <f>IF('Oude Loontabel'!G17="","",ROUND('Oude Loontabel'!G17,2))</f>
        <v>19.5</v>
      </c>
      <c r="H17" s="35">
        <f>IF('Oude Loontabel'!H17="","",ROUND('Oude Loontabel'!H17,2))</f>
        <v>20.87</v>
      </c>
      <c r="I17" s="35">
        <f>IF('Oude Loontabel'!I17="","",ROUND('Oude Loontabel'!I17,2))</f>
        <v>22.58</v>
      </c>
      <c r="J17" s="35">
        <f>IF('Oude Loontabel'!J17="","",ROUND('Oude Loontabel'!J17,2))</f>
        <v>24.5</v>
      </c>
    </row>
    <row r="18" spans="1:10" x14ac:dyDescent="0.3">
      <c r="A18" s="25">
        <v>10</v>
      </c>
      <c r="B18" s="35" t="str">
        <f>IF('Oude Loontabel'!B18="","",ROUND('Oude Loontabel'!B18,2))</f>
        <v/>
      </c>
      <c r="C18" s="35" t="str">
        <f>IF('Oude Loontabel'!C18="","",ROUND('Oude Loontabel'!C18,2))</f>
        <v/>
      </c>
      <c r="D18" s="35" t="str">
        <f>IF('Oude Loontabel'!D18="","",ROUND('Oude Loontabel'!D18,2))</f>
        <v/>
      </c>
      <c r="E18" s="37">
        <f>IF('Oude Loontabel'!E18="","",ROUND('Oude Loontabel'!E18,2))</f>
        <v>17.73</v>
      </c>
      <c r="F18" s="37">
        <f>IF('Oude Loontabel'!F18="","",ROUND('Oude Loontabel'!F18,2))</f>
        <v>18.53</v>
      </c>
      <c r="G18" s="37">
        <f>IF('Oude Loontabel'!G18="","",ROUND('Oude Loontabel'!G18,2))</f>
        <v>19.89</v>
      </c>
      <c r="H18" s="37">
        <f>IF('Oude Loontabel'!H18="","",ROUND('Oude Loontabel'!H18,2))</f>
        <v>21.29</v>
      </c>
      <c r="I18" s="37">
        <f>IF('Oude Loontabel'!I18="","",ROUND('Oude Loontabel'!I18,2))</f>
        <v>23.03</v>
      </c>
      <c r="J18" s="37">
        <f>IF('Oude Loontabel'!J18="","",ROUND('Oude Loontabel'!J18,2))</f>
        <v>24.99</v>
      </c>
    </row>
    <row r="19" spans="1:10" x14ac:dyDescent="0.3">
      <c r="A19" s="25">
        <v>11</v>
      </c>
      <c r="B19" s="35" t="str">
        <f>IF('Oude Loontabel'!B19="","",ROUND('Oude Loontabel'!B19,2))</f>
        <v/>
      </c>
      <c r="C19" s="35" t="str">
        <f>IF('Oude Loontabel'!C19="","",ROUND('Oude Loontabel'!C19,2))</f>
        <v/>
      </c>
      <c r="D19" s="35" t="str">
        <f>IF('Oude Loontabel'!D19="","",ROUND('Oude Loontabel'!D19,2))</f>
        <v/>
      </c>
      <c r="E19" s="35" t="str">
        <f>IF('Oude Loontabel'!E19="","",ROUND('Oude Loontabel'!E19,2))</f>
        <v/>
      </c>
      <c r="F19" s="37">
        <f>IF('Oude Loontabel'!F19="","",ROUND('Oude Loontabel'!F19,2))</f>
        <v>18.899999999999999</v>
      </c>
      <c r="G19" s="37">
        <f>IF('Oude Loontabel'!G19="","",ROUND('Oude Loontabel'!G19,2))</f>
        <v>20.29</v>
      </c>
      <c r="H19" s="37">
        <f>IF('Oude Loontabel'!H19="","",ROUND('Oude Loontabel'!H19,2))</f>
        <v>21.71</v>
      </c>
      <c r="I19" s="37">
        <f>IF('Oude Loontabel'!I19="","",ROUND('Oude Loontabel'!I19,2))</f>
        <v>23.49</v>
      </c>
      <c r="J19" s="37">
        <f>IF('Oude Loontabel'!J19="","",ROUND('Oude Loontabel'!J19,2))</f>
        <v>25.49</v>
      </c>
    </row>
    <row r="20" spans="1:10" x14ac:dyDescent="0.3">
      <c r="A20" s="25">
        <v>12</v>
      </c>
      <c r="B20" s="35" t="str">
        <f>IF('Oude Loontabel'!B20="","",ROUND('Oude Loontabel'!B20,2))</f>
        <v/>
      </c>
      <c r="C20" s="35" t="str">
        <f>IF('Oude Loontabel'!C20="","",ROUND('Oude Loontabel'!C20,2))</f>
        <v/>
      </c>
      <c r="D20" s="35" t="str">
        <f>IF('Oude Loontabel'!D20="","",ROUND('Oude Loontabel'!D20,2))</f>
        <v/>
      </c>
      <c r="E20" s="35" t="str">
        <f>IF('Oude Loontabel'!E20="","",ROUND('Oude Loontabel'!E20,2))</f>
        <v/>
      </c>
      <c r="F20" s="37">
        <f>IF('Oude Loontabel'!F20="","",ROUND('Oude Loontabel'!F20,2))</f>
        <v>19.28</v>
      </c>
      <c r="G20" s="37">
        <f>IF('Oude Loontabel'!G20="","",ROUND('Oude Loontabel'!G20,2))</f>
        <v>20.7</v>
      </c>
      <c r="H20" s="37">
        <f>IF('Oude Loontabel'!H20="","",ROUND('Oude Loontabel'!H20,2))</f>
        <v>22.15</v>
      </c>
      <c r="I20" s="37">
        <f>IF('Oude Loontabel'!I20="","",ROUND('Oude Loontabel'!I20,2))</f>
        <v>23.96</v>
      </c>
      <c r="J20" s="37">
        <f>IF('Oude Loontabel'!J20="","",ROUND('Oude Loontabel'!J20,2))</f>
        <v>26</v>
      </c>
    </row>
    <row r="21" spans="1:10" x14ac:dyDescent="0.3">
      <c r="A21" s="25">
        <v>13</v>
      </c>
      <c r="B21" s="35" t="str">
        <f>IF('Oude Loontabel'!B21="","",ROUND('Oude Loontabel'!B21,2))</f>
        <v/>
      </c>
      <c r="C21" s="35" t="str">
        <f>IF('Oude Loontabel'!C21="","",ROUND('Oude Loontabel'!C21,2))</f>
        <v/>
      </c>
      <c r="D21" s="35" t="str">
        <f>IF('Oude Loontabel'!D21="","",ROUND('Oude Loontabel'!D21,2))</f>
        <v/>
      </c>
      <c r="E21" s="35" t="str">
        <f>IF('Oude Loontabel'!E21="","",ROUND('Oude Loontabel'!E21,2))</f>
        <v/>
      </c>
      <c r="F21" s="37">
        <f>IF('Oude Loontabel'!F21="","",ROUND('Oude Loontabel'!F21,2))</f>
        <v>19.670000000000002</v>
      </c>
      <c r="G21" s="37">
        <f>IF('Oude Loontabel'!G21="","",ROUND('Oude Loontabel'!G21,2))</f>
        <v>21.11</v>
      </c>
      <c r="H21" s="37">
        <f>IF('Oude Loontabel'!H21="","",ROUND('Oude Loontabel'!H21,2))</f>
        <v>22.59</v>
      </c>
      <c r="I21" s="37">
        <f>IF('Oude Loontabel'!I21="","",ROUND('Oude Loontabel'!I21,2))</f>
        <v>24.44</v>
      </c>
      <c r="J21" s="37">
        <f>IF('Oude Loontabel'!J21="","",ROUND('Oude Loontabel'!J21,2))</f>
        <v>26.52</v>
      </c>
    </row>
    <row r="22" spans="1:10" x14ac:dyDescent="0.3">
      <c r="A22" s="25">
        <v>14</v>
      </c>
      <c r="B22" s="35" t="str">
        <f>IF('Oude Loontabel'!B22="","",ROUND('Oude Loontabel'!B22,2))</f>
        <v/>
      </c>
      <c r="C22" s="35" t="str">
        <f>IF('Oude Loontabel'!C22="","",ROUND('Oude Loontabel'!C22,2))</f>
        <v/>
      </c>
      <c r="D22" s="35" t="str">
        <f>IF('Oude Loontabel'!D22="","",ROUND('Oude Loontabel'!D22,2))</f>
        <v/>
      </c>
      <c r="E22" s="35" t="str">
        <f>IF('Oude Loontabel'!E22="","",ROUND('Oude Loontabel'!E22,2))</f>
        <v/>
      </c>
      <c r="F22" s="35" t="str">
        <f>IF('Oude Loontabel'!F22="","",ROUND('Oude Loontabel'!F22,2))</f>
        <v/>
      </c>
      <c r="G22" s="37">
        <f>IF('Oude Loontabel'!G22="","",ROUND('Oude Loontabel'!G22,2))</f>
        <v>21.53</v>
      </c>
      <c r="H22" s="37">
        <f>IF('Oude Loontabel'!H22="","",ROUND('Oude Loontabel'!H22,2))</f>
        <v>23.04</v>
      </c>
      <c r="I22" s="37">
        <f>IF('Oude Loontabel'!I22="","",ROUND('Oude Loontabel'!I22,2))</f>
        <v>24.93</v>
      </c>
      <c r="J22" s="37">
        <f>IF('Oude Loontabel'!J22="","",ROUND('Oude Loontabel'!J22,2))</f>
        <v>27.05</v>
      </c>
    </row>
    <row r="23" spans="1:10" x14ac:dyDescent="0.3">
      <c r="A23" s="25">
        <v>15</v>
      </c>
      <c r="B23" s="35" t="str">
        <f>IF('Oude Loontabel'!B23="","",ROUND('Oude Loontabel'!B23,2))</f>
        <v/>
      </c>
      <c r="C23" s="35" t="str">
        <f>IF('Oude Loontabel'!C23="","",ROUND('Oude Loontabel'!C23,2))</f>
        <v/>
      </c>
      <c r="D23" s="35" t="str">
        <f>IF('Oude Loontabel'!D23="","",ROUND('Oude Loontabel'!D23,2))</f>
        <v/>
      </c>
      <c r="E23" s="35" t="str">
        <f>IF('Oude Loontabel'!E23="","",ROUND('Oude Loontabel'!E23,2))</f>
        <v/>
      </c>
      <c r="F23" s="35" t="str">
        <f>IF('Oude Loontabel'!F23="","",ROUND('Oude Loontabel'!F23,2))</f>
        <v/>
      </c>
      <c r="G23" s="57" t="str">
        <f>IF('Oude Loontabel'!G23="","",ROUND('Oude Loontabel'!G23,2))</f>
        <v/>
      </c>
      <c r="H23" s="37">
        <f>IF('Oude Loontabel'!H23="","",ROUND('Oude Loontabel'!H23,2))</f>
        <v>23.5</v>
      </c>
      <c r="I23" s="37">
        <f>IF('Oude Loontabel'!I23="","",ROUND('Oude Loontabel'!I23,2))</f>
        <v>25.43</v>
      </c>
      <c r="J23" s="37">
        <f>IF('Oude Loontabel'!J23="","",ROUND('Oude Loontabel'!J23,2))</f>
        <v>27.59</v>
      </c>
    </row>
  </sheetData>
  <sheetProtection algorithmName="SHA-512" hashValue="f6soblfK/5Uu+z/zKQvNvQU4Hb2J01FIy+xIjFhuPTn1eLpl30y5EkBJ/bBPhEEwV60jcXEtLZO3Ub1v1olbfw==" saltValue="N9Ray0yIbagm2DNMVRGM6w==" spinCount="100000" sheet="1" objects="1" scenarios="1"/>
  <pageMargins left="0.7" right="0.7" top="0.75" bottom="0.75" header="0.3" footer="0.3"/>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zoomScaleNormal="100" workbookViewId="0">
      <selection activeCell="B2" sqref="B2"/>
    </sheetView>
  </sheetViews>
  <sheetFormatPr defaultRowHeight="14.4" x14ac:dyDescent="0.3"/>
  <sheetData>
    <row r="1" spans="1:10" x14ac:dyDescent="0.3">
      <c r="A1" s="25" t="s">
        <v>30</v>
      </c>
      <c r="B1" s="25" t="s">
        <v>38</v>
      </c>
      <c r="C1" s="25" t="s">
        <v>11</v>
      </c>
      <c r="D1" s="25" t="s">
        <v>39</v>
      </c>
      <c r="E1" s="25" t="s">
        <v>40</v>
      </c>
      <c r="F1" s="25" t="s">
        <v>41</v>
      </c>
      <c r="G1" s="25" t="s">
        <v>42</v>
      </c>
      <c r="H1" s="25" t="s">
        <v>43</v>
      </c>
      <c r="I1" s="25" t="s">
        <v>44</v>
      </c>
      <c r="J1" s="25" t="s">
        <v>45</v>
      </c>
    </row>
    <row r="2" spans="1:10" x14ac:dyDescent="0.3">
      <c r="A2" s="26" t="s">
        <v>46</v>
      </c>
      <c r="B2" s="34">
        <v>4.3182555453899996</v>
      </c>
      <c r="C2" s="34">
        <v>4.3182555453899996</v>
      </c>
      <c r="D2" s="35">
        <v>4.4057273449049097</v>
      </c>
      <c r="E2" s="35"/>
      <c r="F2" s="35"/>
      <c r="G2" s="35"/>
      <c r="H2" s="35"/>
      <c r="I2" s="35"/>
      <c r="J2" s="35"/>
    </row>
    <row r="3" spans="1:10" x14ac:dyDescent="0.3">
      <c r="A3" s="25" t="s">
        <v>47</v>
      </c>
      <c r="B3" s="34">
        <v>4.96924884369</v>
      </c>
      <c r="C3" s="34">
        <v>4.96924884369</v>
      </c>
      <c r="D3" s="35">
        <v>5.0665864466406463</v>
      </c>
      <c r="E3" s="35">
        <v>5.2261344153849567</v>
      </c>
      <c r="F3" s="35"/>
      <c r="G3" s="35"/>
      <c r="H3" s="35"/>
      <c r="I3" s="35"/>
      <c r="J3" s="35"/>
    </row>
    <row r="4" spans="1:10" x14ac:dyDescent="0.3">
      <c r="A4" s="25" t="s">
        <v>48</v>
      </c>
      <c r="B4" s="34">
        <v>5.6853414718199993</v>
      </c>
      <c r="C4" s="34">
        <v>5.6853414718199993</v>
      </c>
      <c r="D4" s="35">
        <v>5.8008743374581311</v>
      </c>
      <c r="E4" s="35">
        <v>5.9832432023027673</v>
      </c>
      <c r="F4" s="35">
        <v>6.3003550920248124</v>
      </c>
      <c r="G4" s="35"/>
      <c r="H4" s="35"/>
      <c r="I4" s="35"/>
      <c r="J4" s="35"/>
    </row>
    <row r="5" spans="1:10" x14ac:dyDescent="0.3">
      <c r="A5" s="25" t="s">
        <v>49</v>
      </c>
      <c r="B5" s="34">
        <v>7.1981800200000006</v>
      </c>
      <c r="C5" s="34">
        <v>7.1981800200000006</v>
      </c>
      <c r="D5" s="35">
        <v>7.3428789081748498</v>
      </c>
      <c r="E5" s="35">
        <v>7.4530220917974725</v>
      </c>
      <c r="F5" s="35">
        <v>7.6020825336334203</v>
      </c>
      <c r="G5" s="35"/>
      <c r="H5" s="35"/>
      <c r="I5" s="35"/>
      <c r="J5" s="35"/>
    </row>
    <row r="6" spans="1:10" x14ac:dyDescent="0.3">
      <c r="A6" s="25" t="s">
        <v>50</v>
      </c>
      <c r="B6" s="34">
        <v>8.6442479999999993</v>
      </c>
      <c r="C6" s="34">
        <v>8.6442479999999993</v>
      </c>
      <c r="D6" s="35">
        <v>8.8114546898098194</v>
      </c>
      <c r="E6" s="35">
        <v>8.9436265101569656</v>
      </c>
      <c r="F6" s="35">
        <v>9.1224990403601041</v>
      </c>
      <c r="G6" s="35">
        <v>9.7914160308602849</v>
      </c>
      <c r="H6" s="35">
        <v>10.476815153020507</v>
      </c>
      <c r="I6" s="35"/>
      <c r="J6" s="35"/>
    </row>
    <row r="7" spans="1:10" x14ac:dyDescent="0.3">
      <c r="A7" s="25" t="s">
        <v>51</v>
      </c>
      <c r="B7" s="34">
        <v>11.52225</v>
      </c>
      <c r="C7" s="34">
        <v>11.52225</v>
      </c>
      <c r="D7" s="35">
        <v>11.748606253079759</v>
      </c>
      <c r="E7" s="35">
        <v>11.924835346875955</v>
      </c>
      <c r="F7" s="35">
        <v>12.163332053813475</v>
      </c>
      <c r="G7" s="35">
        <v>13.055221374480379</v>
      </c>
      <c r="H7" s="35">
        <v>13.969086870694007</v>
      </c>
      <c r="I7" s="35"/>
      <c r="J7" s="35"/>
    </row>
    <row r="8" spans="1:10" x14ac:dyDescent="0.3">
      <c r="A8" s="26" t="s">
        <v>52</v>
      </c>
      <c r="B8" s="36">
        <v>14.397801780734998</v>
      </c>
      <c r="C8" s="36">
        <v>14.397801780734998</v>
      </c>
      <c r="D8" s="36">
        <v>14.6857578163497</v>
      </c>
      <c r="E8" s="36">
        <v>14.906044183594945</v>
      </c>
      <c r="F8" s="36">
        <v>15.204165067266841</v>
      </c>
      <c r="G8" s="36">
        <v>16.319026718100474</v>
      </c>
      <c r="H8" s="36">
        <v>17.461358588367506</v>
      </c>
      <c r="I8" s="36">
        <v>18.893189992613646</v>
      </c>
      <c r="J8" s="36">
        <v>20.499111141985804</v>
      </c>
    </row>
    <row r="9" spans="1:10" x14ac:dyDescent="0.3">
      <c r="A9" s="26">
        <v>1</v>
      </c>
      <c r="B9" s="34">
        <v>14.541779798542349</v>
      </c>
      <c r="C9" s="34">
        <v>14.541779798542349</v>
      </c>
      <c r="D9" s="35">
        <v>14.832615394513194</v>
      </c>
      <c r="E9" s="35">
        <v>15.129634846348868</v>
      </c>
      <c r="F9" s="35">
        <v>15.508248368612179</v>
      </c>
      <c r="G9" s="35">
        <v>16.645407252462476</v>
      </c>
      <c r="H9" s="35">
        <v>17.81058576013486</v>
      </c>
      <c r="I9" s="35">
        <v>19.271053792465917</v>
      </c>
      <c r="J9" s="35">
        <v>20.909093364825512</v>
      </c>
    </row>
    <row r="10" spans="1:10" x14ac:dyDescent="0.3">
      <c r="A10" s="26">
        <v>2</v>
      </c>
      <c r="B10" s="34">
        <v>14.687197596527772</v>
      </c>
      <c r="C10" s="34">
        <v>14.687197596527772</v>
      </c>
      <c r="D10" s="35">
        <v>14.980941548458329</v>
      </c>
      <c r="E10" s="35">
        <v>15.3565793690441</v>
      </c>
      <c r="F10" s="35">
        <v>15.818413335984422</v>
      </c>
      <c r="G10" s="35">
        <v>16.978315397511729</v>
      </c>
      <c r="H10" s="35">
        <v>18.166797475337546</v>
      </c>
      <c r="I10" s="35">
        <v>19.656474868315232</v>
      </c>
      <c r="J10" s="35">
        <v>21.32727523212203</v>
      </c>
    </row>
    <row r="11" spans="1:10" x14ac:dyDescent="0.3">
      <c r="A11" s="26">
        <v>3</v>
      </c>
      <c r="B11" s="34">
        <v>14.83406957249305</v>
      </c>
      <c r="C11" s="34">
        <v>14.83406957249305</v>
      </c>
      <c r="D11" s="35">
        <v>15.130750963942912</v>
      </c>
      <c r="E11" s="35">
        <v>15.586928059579758</v>
      </c>
      <c r="F11" s="35">
        <v>16.134781602704113</v>
      </c>
      <c r="G11" s="35">
        <v>17.317881705461971</v>
      </c>
      <c r="H11" s="35">
        <v>18.530133424844298</v>
      </c>
      <c r="I11" s="35">
        <v>20.049604365681532</v>
      </c>
      <c r="J11" s="35">
        <v>21.753820736764464</v>
      </c>
    </row>
    <row r="12" spans="1:10" x14ac:dyDescent="0.3">
      <c r="A12" s="26">
        <v>4</v>
      </c>
      <c r="B12" s="37">
        <v>15.13075096394291</v>
      </c>
      <c r="C12" s="37">
        <v>15.13075096394291</v>
      </c>
      <c r="D12" s="35">
        <v>15.282058473582341</v>
      </c>
      <c r="E12" s="35">
        <v>15.820731980473454</v>
      </c>
      <c r="F12" s="35">
        <v>16.457477234758194</v>
      </c>
      <c r="G12" s="35">
        <v>17.664239339571203</v>
      </c>
      <c r="H12" s="35">
        <v>18.900736093341195</v>
      </c>
      <c r="I12" s="35">
        <v>20.450596452995168</v>
      </c>
      <c r="J12" s="35">
        <v>22.188897151499752</v>
      </c>
    </row>
    <row r="13" spans="1:10" x14ac:dyDescent="0.3">
      <c r="A13" s="26">
        <v>5</v>
      </c>
      <c r="B13" s="37">
        <v>15.433365983221769</v>
      </c>
      <c r="C13" s="50">
        <v>15.433365983221769</v>
      </c>
      <c r="D13" s="37">
        <v>15.587699643053988</v>
      </c>
      <c r="E13" s="35">
        <v>16.058042960180554</v>
      </c>
      <c r="F13" s="35">
        <v>16.786626779453361</v>
      </c>
      <c r="G13" s="35">
        <v>18.017524126362627</v>
      </c>
      <c r="H13" s="35">
        <v>19.278750815208014</v>
      </c>
      <c r="I13" s="35">
        <v>20.859608382055072</v>
      </c>
      <c r="J13" s="35">
        <v>22.632675094529759</v>
      </c>
    </row>
    <row r="14" spans="1:10" x14ac:dyDescent="0.3">
      <c r="A14" s="25">
        <v>6</v>
      </c>
      <c r="B14" s="37">
        <v>15.742033302886204</v>
      </c>
      <c r="C14" s="50">
        <v>15.742033302886204</v>
      </c>
      <c r="D14" s="37">
        <v>15.899453635915068</v>
      </c>
      <c r="E14" s="37">
        <v>16.379203819384166</v>
      </c>
      <c r="F14" s="35">
        <v>17.122359315042427</v>
      </c>
      <c r="G14" s="35">
        <v>18.377874608889883</v>
      </c>
      <c r="H14" s="35">
        <v>19.664325831512176</v>
      </c>
      <c r="I14" s="35">
        <v>21.276800549696176</v>
      </c>
      <c r="J14" s="35">
        <v>23.085328596420339</v>
      </c>
    </row>
    <row r="15" spans="1:10" x14ac:dyDescent="0.3">
      <c r="A15" s="25">
        <v>7</v>
      </c>
      <c r="B15" s="37">
        <v>16.056873968943929</v>
      </c>
      <c r="C15" s="37">
        <v>16.056873968943929</v>
      </c>
      <c r="D15" s="37">
        <v>16.217442708633371</v>
      </c>
      <c r="E15" s="37">
        <v>16.70678789577185</v>
      </c>
      <c r="F15" s="35">
        <v>17.464806501343272</v>
      </c>
      <c r="G15" s="35">
        <v>18.745432101067681</v>
      </c>
      <c r="H15" s="35">
        <v>20.05761234814242</v>
      </c>
      <c r="I15" s="35">
        <v>21.702336560690103</v>
      </c>
      <c r="J15" s="35">
        <v>23.547035168348749</v>
      </c>
    </row>
    <row r="16" spans="1:10" x14ac:dyDescent="0.3">
      <c r="A16" s="25">
        <v>8</v>
      </c>
      <c r="B16" s="35"/>
      <c r="C16" s="35"/>
      <c r="D16" s="37">
        <v>16.54179156280604</v>
      </c>
      <c r="E16" s="37">
        <v>17.040923653687287</v>
      </c>
      <c r="F16" s="37">
        <v>17.814102631370137</v>
      </c>
      <c r="G16" s="35">
        <v>19.120340743089038</v>
      </c>
      <c r="H16" s="35">
        <v>20.458764595105269</v>
      </c>
      <c r="I16" s="35">
        <v>22.136383291903911</v>
      </c>
      <c r="J16" s="35">
        <v>24.017975871715731</v>
      </c>
    </row>
    <row r="17" spans="1:10" x14ac:dyDescent="0.3">
      <c r="A17" s="25">
        <v>9</v>
      </c>
      <c r="B17" s="35"/>
      <c r="C17" s="35"/>
      <c r="D17" s="35"/>
      <c r="E17" s="37">
        <v>17.381742126761033</v>
      </c>
      <c r="F17" s="37">
        <v>18.17038468399754</v>
      </c>
      <c r="G17" s="37">
        <v>19.502747557950819</v>
      </c>
      <c r="H17" s="35">
        <v>20.867939887007374</v>
      </c>
      <c r="I17" s="35">
        <v>22.579110957741978</v>
      </c>
      <c r="J17" s="35">
        <v>24.498335389150043</v>
      </c>
    </row>
    <row r="18" spans="1:10" x14ac:dyDescent="0.3">
      <c r="A18" s="25">
        <v>10</v>
      </c>
      <c r="B18" s="35"/>
      <c r="C18" s="35"/>
      <c r="D18" s="35"/>
      <c r="E18" s="37">
        <v>17.729376969296254</v>
      </c>
      <c r="F18" s="37">
        <v>18.533792377677489</v>
      </c>
      <c r="G18" s="37">
        <v>19.892802509109835</v>
      </c>
      <c r="H18" s="37">
        <v>21.285298684747524</v>
      </c>
      <c r="I18" s="37">
        <v>23.030693176896818</v>
      </c>
      <c r="J18" s="37">
        <v>24.988302096933044</v>
      </c>
    </row>
    <row r="19" spans="1:10" x14ac:dyDescent="0.3">
      <c r="A19" s="25">
        <v>11</v>
      </c>
      <c r="B19" s="35"/>
      <c r="C19" s="35"/>
      <c r="D19" s="35"/>
      <c r="E19" s="35"/>
      <c r="F19" s="37">
        <v>18.904468225231039</v>
      </c>
      <c r="G19" s="37">
        <v>20.29065855929203</v>
      </c>
      <c r="H19" s="37">
        <v>21.711004658442473</v>
      </c>
      <c r="I19" s="37">
        <v>23.491307040434755</v>
      </c>
      <c r="J19" s="37">
        <v>25.488068138871704</v>
      </c>
    </row>
    <row r="20" spans="1:10" x14ac:dyDescent="0.3">
      <c r="A20" s="25">
        <v>12</v>
      </c>
      <c r="B20" s="35"/>
      <c r="C20" s="35"/>
      <c r="D20" s="35"/>
      <c r="E20" s="35"/>
      <c r="F20" s="37">
        <v>19.28255758973566</v>
      </c>
      <c r="G20" s="37">
        <v>20.696471730477871</v>
      </c>
      <c r="H20" s="37">
        <v>22.145224751611323</v>
      </c>
      <c r="I20" s="37">
        <v>23.961133181243451</v>
      </c>
      <c r="J20" s="37">
        <v>25.997829501649139</v>
      </c>
    </row>
    <row r="21" spans="1:10" x14ac:dyDescent="0.3">
      <c r="A21" s="25">
        <v>13</v>
      </c>
      <c r="B21" s="35"/>
      <c r="C21" s="35"/>
      <c r="D21" s="35"/>
      <c r="E21" s="35"/>
      <c r="F21" s="37">
        <v>19.668208741530375</v>
      </c>
      <c r="G21" s="37">
        <v>21.110401165087428</v>
      </c>
      <c r="H21" s="37">
        <v>22.58812924664355</v>
      </c>
      <c r="I21" s="37">
        <v>24.440355844868321</v>
      </c>
      <c r="J21" s="37">
        <v>26.517786091682122</v>
      </c>
    </row>
    <row r="22" spans="1:10" x14ac:dyDescent="0.3">
      <c r="A22" s="25">
        <v>14</v>
      </c>
      <c r="B22" s="35"/>
      <c r="C22" s="35"/>
      <c r="D22" s="35"/>
      <c r="E22" s="35"/>
      <c r="F22" s="35"/>
      <c r="G22" s="37">
        <v>21.532609188389177</v>
      </c>
      <c r="H22" s="37">
        <v>23.039891831576423</v>
      </c>
      <c r="I22" s="37">
        <v>24.929162961765687</v>
      </c>
      <c r="J22" s="37">
        <v>27.048141813515766</v>
      </c>
    </row>
    <row r="23" spans="1:10" x14ac:dyDescent="0.3">
      <c r="A23" s="25">
        <v>15</v>
      </c>
      <c r="B23" s="35"/>
      <c r="C23" s="35"/>
      <c r="D23" s="35"/>
      <c r="E23" s="35"/>
      <c r="F23" s="35"/>
      <c r="G23" s="56"/>
      <c r="H23" s="37">
        <v>23.500689668207951</v>
      </c>
      <c r="I23" s="37">
        <v>25.427746221001001</v>
      </c>
      <c r="J23" s="37">
        <v>27.589104649786083</v>
      </c>
    </row>
  </sheetData>
  <sheetProtection algorithmName="SHA-512" hashValue="H5kGOhqjKb9qzswj77Ku8CpJtDZeWMrpf390eOJl54WBsKmW3Y+cpqUlevBzEFe4pJ6FUq74Fz9+Ztm/+HDOJA==" saltValue="VrmvqJqcwTGjHfcDCa0hTQ==" spinCount="100000" sheet="1" objects="1" scenarios="1"/>
  <pageMargins left="0.7" right="0.7" top="0.75" bottom="0.75" header="0.3" footer="0.3"/>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zoomScaleNormal="100" workbookViewId="0"/>
  </sheetViews>
  <sheetFormatPr defaultRowHeight="14.4" x14ac:dyDescent="0.3"/>
  <sheetData>
    <row r="1" spans="1:10" x14ac:dyDescent="0.3">
      <c r="A1" s="25" t="s">
        <v>30</v>
      </c>
      <c r="B1" s="25" t="s">
        <v>38</v>
      </c>
      <c r="C1" s="25" t="s">
        <v>11</v>
      </c>
      <c r="D1" s="25" t="s">
        <v>39</v>
      </c>
      <c r="E1" s="25" t="s">
        <v>40</v>
      </c>
      <c r="F1" s="25" t="s">
        <v>41</v>
      </c>
      <c r="G1" s="25" t="s">
        <v>42</v>
      </c>
      <c r="H1" s="25" t="s">
        <v>43</v>
      </c>
      <c r="I1" s="25" t="s">
        <v>44</v>
      </c>
      <c r="J1" s="25" t="s">
        <v>45</v>
      </c>
    </row>
    <row r="2" spans="1:10" x14ac:dyDescent="0.3">
      <c r="A2" s="26" t="s">
        <v>46</v>
      </c>
      <c r="B2" s="58">
        <v>4.4110980396158848</v>
      </c>
      <c r="C2" s="58">
        <v>4.4110980396158848</v>
      </c>
      <c r="D2" s="35">
        <v>4.5004504828203657</v>
      </c>
      <c r="E2" s="35"/>
      <c r="F2" s="35"/>
      <c r="G2" s="35"/>
      <c r="H2" s="35"/>
      <c r="I2" s="35"/>
      <c r="J2" s="35"/>
    </row>
    <row r="3" spans="1:10" x14ac:dyDescent="0.3">
      <c r="A3" s="25" t="s">
        <v>47</v>
      </c>
      <c r="B3" s="58">
        <v>5.07</v>
      </c>
      <c r="C3" s="58">
        <v>5.07</v>
      </c>
      <c r="D3" s="35">
        <v>5.1755180552434208</v>
      </c>
      <c r="E3" s="35">
        <v>5.3384963053157337</v>
      </c>
      <c r="F3" s="35"/>
      <c r="G3" s="35"/>
      <c r="H3" s="35"/>
      <c r="I3" s="35"/>
      <c r="J3" s="35"/>
    </row>
    <row r="4" spans="1:10" x14ac:dyDescent="0.3">
      <c r="A4" s="25" t="s">
        <v>48</v>
      </c>
      <c r="B4" s="58">
        <v>5.8075763134641294</v>
      </c>
      <c r="C4" s="58">
        <v>5.8075763134641294</v>
      </c>
      <c r="D4" s="35">
        <v>5.9255931357134815</v>
      </c>
      <c r="E4" s="35">
        <v>6.1118829311522775</v>
      </c>
      <c r="F4" s="35">
        <v>6.4358127265033467</v>
      </c>
      <c r="G4" s="35"/>
      <c r="H4" s="35"/>
      <c r="I4" s="35"/>
      <c r="J4" s="35"/>
    </row>
    <row r="5" spans="1:10" x14ac:dyDescent="0.3">
      <c r="A5" s="25" t="s">
        <v>49</v>
      </c>
      <c r="B5" s="58">
        <v>7.36</v>
      </c>
      <c r="C5" s="58">
        <v>7.36</v>
      </c>
      <c r="D5" s="35">
        <v>7.5007508047006093</v>
      </c>
      <c r="E5" s="35">
        <v>7.6132620667711191</v>
      </c>
      <c r="F5" s="35">
        <v>7.765527308106539</v>
      </c>
      <c r="G5" s="35"/>
      <c r="H5" s="35"/>
      <c r="I5" s="35"/>
      <c r="J5" s="35"/>
    </row>
    <row r="6" spans="1:10" x14ac:dyDescent="0.3">
      <c r="A6" s="25" t="s">
        <v>50</v>
      </c>
      <c r="B6" s="58">
        <v>8.8300993319999996</v>
      </c>
      <c r="C6" s="58">
        <v>8.8300993319999996</v>
      </c>
      <c r="D6" s="35">
        <v>9.0009009656407315</v>
      </c>
      <c r="E6" s="35">
        <v>9.1359144801253418</v>
      </c>
      <c r="F6" s="35">
        <v>9.3186327697278468</v>
      </c>
      <c r="G6" s="35">
        <v>10.001931475523781</v>
      </c>
      <c r="H6" s="35">
        <v>10.702066678810448</v>
      </c>
      <c r="I6" s="35"/>
      <c r="J6" s="35"/>
    </row>
    <row r="7" spans="1:10" x14ac:dyDescent="0.3">
      <c r="A7" s="25" t="s">
        <v>51</v>
      </c>
      <c r="B7" s="58">
        <v>11.769978375000001</v>
      </c>
      <c r="C7" s="58">
        <v>11.769978375000001</v>
      </c>
      <c r="D7" s="35">
        <v>12.001201287520974</v>
      </c>
      <c r="E7" s="35">
        <v>12.181219306833789</v>
      </c>
      <c r="F7" s="35">
        <v>12.424843692970466</v>
      </c>
      <c r="G7" s="35">
        <v>13.335908634031707</v>
      </c>
      <c r="H7" s="35">
        <v>14.269422238413929</v>
      </c>
      <c r="I7" s="35"/>
      <c r="J7" s="35"/>
    </row>
    <row r="8" spans="1:10" x14ac:dyDescent="0.3">
      <c r="A8" s="26" t="s">
        <v>52</v>
      </c>
      <c r="B8" s="59">
        <v>14.705881780860002</v>
      </c>
      <c r="C8" s="59">
        <v>14.705881780860002</v>
      </c>
      <c r="D8" s="59">
        <v>15.001501609401219</v>
      </c>
      <c r="E8" s="59">
        <v>15.226524133542238</v>
      </c>
      <c r="F8" s="59">
        <v>15.531054616213078</v>
      </c>
      <c r="G8" s="59">
        <v>16.669885792539635</v>
      </c>
      <c r="H8" s="59">
        <v>17.836777798017408</v>
      </c>
      <c r="I8" s="59">
        <v>19.29939357745484</v>
      </c>
      <c r="J8" s="59">
        <v>20.9398420315385</v>
      </c>
    </row>
    <row r="9" spans="1:10" x14ac:dyDescent="0.3">
      <c r="A9" s="26">
        <v>1</v>
      </c>
      <c r="B9" s="35">
        <v>14.85442806421101</v>
      </c>
      <c r="C9" s="35">
        <v>14.85442806421101</v>
      </c>
      <c r="D9" s="35">
        <v>15.15151662549523</v>
      </c>
      <c r="E9" s="35">
        <v>15.454921995545369</v>
      </c>
      <c r="F9" s="35">
        <v>15.841675708537341</v>
      </c>
      <c r="G9" s="35">
        <v>17.003283508390421</v>
      </c>
      <c r="H9" s="35">
        <v>18.19351335397776</v>
      </c>
      <c r="I9" s="35">
        <v>19.685381449003934</v>
      </c>
      <c r="J9" s="35">
        <v>21.358638872169262</v>
      </c>
    </row>
    <row r="10" spans="1:10" x14ac:dyDescent="0.3">
      <c r="A10" s="26">
        <v>2</v>
      </c>
      <c r="B10" s="35">
        <v>15.00297234485312</v>
      </c>
      <c r="C10" s="35">
        <v>15.00297234485312</v>
      </c>
      <c r="D10" s="35">
        <v>15.303031791750184</v>
      </c>
      <c r="E10" s="35">
        <v>15.68674582547855</v>
      </c>
      <c r="F10" s="35">
        <v>16.158509222708087</v>
      </c>
      <c r="G10" s="35">
        <v>17.343349178558231</v>
      </c>
      <c r="H10" s="35">
        <v>18.557383621057305</v>
      </c>
      <c r="I10" s="35">
        <v>20.079089077984012</v>
      </c>
      <c r="J10" s="35">
        <v>21.785811649612654</v>
      </c>
    </row>
    <row r="11" spans="1:10" x14ac:dyDescent="0.3">
      <c r="A11" s="26">
        <v>3</v>
      </c>
      <c r="B11" s="35">
        <v>15.153002068301651</v>
      </c>
      <c r="C11" s="35">
        <v>15.153002068301651</v>
      </c>
      <c r="D11" s="35">
        <v>15.456062109667686</v>
      </c>
      <c r="E11" s="35">
        <v>15.922047012860725</v>
      </c>
      <c r="F11" s="35">
        <v>16.481679407162254</v>
      </c>
      <c r="G11" s="35">
        <v>17.690216162129406</v>
      </c>
      <c r="H11" s="35">
        <v>18.92853129347845</v>
      </c>
      <c r="I11" s="35">
        <v>20.480670859543686</v>
      </c>
      <c r="J11" s="35">
        <v>22.221527882604903</v>
      </c>
    </row>
    <row r="12" spans="1:10" x14ac:dyDescent="0.3">
      <c r="A12" s="26">
        <v>4</v>
      </c>
      <c r="B12" s="60">
        <f>B11*1.02</f>
        <v>15.456062109667684</v>
      </c>
      <c r="C12" s="60">
        <f>C11*1.02</f>
        <v>15.456062109667684</v>
      </c>
      <c r="D12" s="35">
        <v>15.610622730764362</v>
      </c>
      <c r="E12" s="35">
        <v>16.160877718053634</v>
      </c>
      <c r="F12" s="35">
        <v>16.811312995305496</v>
      </c>
      <c r="G12" s="35">
        <v>18.044020485371984</v>
      </c>
      <c r="H12" s="35">
        <v>19.307101919348032</v>
      </c>
      <c r="I12" s="35">
        <v>20.890284276734565</v>
      </c>
      <c r="J12" s="35">
        <v>22.665958440256997</v>
      </c>
    </row>
    <row r="13" spans="1:10" x14ac:dyDescent="0.3">
      <c r="A13" s="26">
        <v>5</v>
      </c>
      <c r="B13" s="60">
        <f t="shared" ref="B13:J22" si="0">B12*1.02</f>
        <v>15.765183351861038</v>
      </c>
      <c r="C13" s="60">
        <f t="shared" si="0"/>
        <v>15.765183351861038</v>
      </c>
      <c r="D13" s="60">
        <f t="shared" si="0"/>
        <v>15.92283518537965</v>
      </c>
      <c r="E13" s="35">
        <v>16.403290883824436</v>
      </c>
      <c r="F13" s="35">
        <v>17.147539255211608</v>
      </c>
      <c r="G13" s="35">
        <v>18.404900895079425</v>
      </c>
      <c r="H13" s="35">
        <v>19.693243957734989</v>
      </c>
      <c r="I13" s="35">
        <v>21.308089962269257</v>
      </c>
      <c r="J13" s="35">
        <v>23.119277609062152</v>
      </c>
    </row>
    <row r="14" spans="1:10" x14ac:dyDescent="0.3">
      <c r="A14" s="25">
        <v>6</v>
      </c>
      <c r="B14" s="60">
        <f t="shared" si="0"/>
        <v>16.08048701889826</v>
      </c>
      <c r="C14" s="60">
        <f t="shared" si="0"/>
        <v>16.08048701889826</v>
      </c>
      <c r="D14" s="60">
        <f t="shared" si="0"/>
        <v>16.241291889087243</v>
      </c>
      <c r="E14" s="60">
        <f t="shared" si="0"/>
        <v>16.731356701500925</v>
      </c>
      <c r="F14" s="35">
        <v>17.490490040315841</v>
      </c>
      <c r="G14" s="35">
        <v>18.772998912981016</v>
      </c>
      <c r="H14" s="35">
        <v>20.087108836889691</v>
      </c>
      <c r="I14" s="35">
        <v>21.734251761514646</v>
      </c>
      <c r="J14" s="35">
        <v>23.581663161243377</v>
      </c>
    </row>
    <row r="15" spans="1:10" x14ac:dyDescent="0.3">
      <c r="A15" s="25">
        <v>7</v>
      </c>
      <c r="B15" s="60">
        <v>16.402096759276223</v>
      </c>
      <c r="C15" s="60">
        <v>16.402096759276223</v>
      </c>
      <c r="D15" s="60">
        <f t="shared" si="0"/>
        <v>16.566117726868988</v>
      </c>
      <c r="E15" s="60">
        <f t="shared" si="0"/>
        <v>17.065983835530943</v>
      </c>
      <c r="F15" s="35">
        <v>17.840299841122153</v>
      </c>
      <c r="G15" s="35">
        <v>19.148458891240637</v>
      </c>
      <c r="H15" s="35">
        <v>20.488851013627485</v>
      </c>
      <c r="I15" s="35">
        <v>22.168936796744941</v>
      </c>
      <c r="J15" s="35">
        <v>24.05329642446825</v>
      </c>
    </row>
    <row r="16" spans="1:10" x14ac:dyDescent="0.3">
      <c r="A16" s="25">
        <v>8</v>
      </c>
      <c r="B16" s="35"/>
      <c r="C16" s="35"/>
      <c r="D16" s="60">
        <v>16.897440081406366</v>
      </c>
      <c r="E16" s="60">
        <f t="shared" si="0"/>
        <v>17.407303512241562</v>
      </c>
      <c r="F16" s="60">
        <f t="shared" si="0"/>
        <v>18.197105837944598</v>
      </c>
      <c r="G16" s="35">
        <v>19.531428069065452</v>
      </c>
      <c r="H16" s="35">
        <v>20.898628033900032</v>
      </c>
      <c r="I16" s="35">
        <v>22.612315532679848</v>
      </c>
      <c r="J16" s="35">
        <v>24.534362352957622</v>
      </c>
    </row>
    <row r="17" spans="1:10" x14ac:dyDescent="0.3">
      <c r="A17" s="25">
        <v>9</v>
      </c>
      <c r="B17" s="35"/>
      <c r="C17" s="35"/>
      <c r="D17" s="35"/>
      <c r="E17" s="60">
        <f t="shared" si="0"/>
        <v>17.755449582486392</v>
      </c>
      <c r="F17" s="60">
        <f t="shared" si="0"/>
        <v>18.56104795470349</v>
      </c>
      <c r="G17" s="60">
        <f t="shared" si="0"/>
        <v>19.922056630446761</v>
      </c>
      <c r="H17" s="35">
        <v>21.316600594578034</v>
      </c>
      <c r="I17" s="35">
        <v>23.064561843333433</v>
      </c>
      <c r="J17" s="35">
        <v>25.025049600016771</v>
      </c>
    </row>
    <row r="18" spans="1:10" x14ac:dyDescent="0.3">
      <c r="A18" s="25">
        <v>10</v>
      </c>
      <c r="B18" s="35"/>
      <c r="C18" s="35"/>
      <c r="D18" s="35"/>
      <c r="E18" s="60">
        <v>18.110558574136121</v>
      </c>
      <c r="F18" s="60">
        <f t="shared" si="0"/>
        <v>18.932268913797561</v>
      </c>
      <c r="G18" s="60">
        <f t="shared" si="0"/>
        <v>20.320497763055698</v>
      </c>
      <c r="H18" s="60">
        <f t="shared" si="0"/>
        <v>21.742932606469594</v>
      </c>
      <c r="I18" s="60">
        <f t="shared" si="0"/>
        <v>23.5258530802001</v>
      </c>
      <c r="J18" s="60">
        <f t="shared" si="0"/>
        <v>25.525550592017108</v>
      </c>
    </row>
    <row r="19" spans="1:10" x14ac:dyDescent="0.3">
      <c r="A19" s="25">
        <v>11</v>
      </c>
      <c r="B19" s="35"/>
      <c r="C19" s="35"/>
      <c r="D19" s="35"/>
      <c r="E19" s="35"/>
      <c r="F19" s="60">
        <f t="shared" si="0"/>
        <v>19.310914292073512</v>
      </c>
      <c r="G19" s="60">
        <f t="shared" si="0"/>
        <v>20.726907718316813</v>
      </c>
      <c r="H19" s="60">
        <f t="shared" si="0"/>
        <v>22.177791258598987</v>
      </c>
      <c r="I19" s="60">
        <f t="shared" si="0"/>
        <v>23.996370141804103</v>
      </c>
      <c r="J19" s="60">
        <f t="shared" si="0"/>
        <v>26.036061603857451</v>
      </c>
    </row>
    <row r="20" spans="1:10" x14ac:dyDescent="0.3">
      <c r="A20" s="25">
        <v>12</v>
      </c>
      <c r="B20" s="35"/>
      <c r="C20" s="35"/>
      <c r="D20" s="35"/>
      <c r="E20" s="35"/>
      <c r="F20" s="60">
        <f t="shared" si="0"/>
        <v>19.697132577914982</v>
      </c>
      <c r="G20" s="60">
        <f t="shared" si="0"/>
        <v>21.14144587268315</v>
      </c>
      <c r="H20" s="60">
        <f t="shared" si="0"/>
        <v>22.621347083770967</v>
      </c>
      <c r="I20" s="60">
        <f t="shared" si="0"/>
        <v>24.476297544640186</v>
      </c>
      <c r="J20" s="60">
        <f t="shared" si="0"/>
        <v>26.556782835934602</v>
      </c>
    </row>
    <row r="21" spans="1:10" x14ac:dyDescent="0.3">
      <c r="A21" s="25">
        <v>13</v>
      </c>
      <c r="B21" s="35"/>
      <c r="C21" s="35"/>
      <c r="D21" s="35"/>
      <c r="E21" s="35"/>
      <c r="F21" s="60">
        <v>20.09107522947328</v>
      </c>
      <c r="G21" s="60">
        <f t="shared" si="0"/>
        <v>21.564274790136814</v>
      </c>
      <c r="H21" s="60">
        <f t="shared" si="0"/>
        <v>23.073774025446387</v>
      </c>
      <c r="I21" s="60">
        <f t="shared" si="0"/>
        <v>24.965823495532991</v>
      </c>
      <c r="J21" s="60">
        <f t="shared" si="0"/>
        <v>27.087918492653294</v>
      </c>
    </row>
    <row r="22" spans="1:10" x14ac:dyDescent="0.3">
      <c r="A22" s="25">
        <v>14</v>
      </c>
      <c r="B22" s="35"/>
      <c r="C22" s="35"/>
      <c r="D22" s="35"/>
      <c r="E22" s="35"/>
      <c r="F22" s="35"/>
      <c r="G22" s="60">
        <v>21.995560285939547</v>
      </c>
      <c r="H22" s="60">
        <f t="shared" si="0"/>
        <v>23.535249505955314</v>
      </c>
      <c r="I22" s="60">
        <f t="shared" si="0"/>
        <v>25.465139965443651</v>
      </c>
      <c r="J22" s="60">
        <f t="shared" si="0"/>
        <v>27.629676862506361</v>
      </c>
    </row>
    <row r="23" spans="1:10" x14ac:dyDescent="0.3">
      <c r="A23" s="25">
        <v>15</v>
      </c>
      <c r="B23" s="35"/>
      <c r="C23" s="35"/>
      <c r="D23" s="35"/>
      <c r="E23" s="35"/>
      <c r="F23" s="35"/>
      <c r="G23" s="35"/>
      <c r="H23" s="60">
        <v>24.00595449607442</v>
      </c>
      <c r="I23" s="60">
        <v>25.974442764752524</v>
      </c>
      <c r="J23" s="60">
        <v>28.182270399756483</v>
      </c>
    </row>
  </sheetData>
  <sheetProtection algorithmName="SHA-512" hashValue="4LNCuwrAsqrw3heU83o8BuqNjMOYHM6cOSWr77AuHy4aF56pRBsACw5LJukI1ZGZXBgW4QipHdqDBvdjyN0y/w==" saltValue="/a6pSam+7CyMfePoarMIdw==" spinCount="100000" sheet="1" objects="1" scenarios="1"/>
  <pageMargins left="0.7" right="0.7" top="0.75" bottom="0.75" header="0.3" footer="0.3"/>
  <pageSetup paperSize="9" scale="9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268db0dbd6f8ac7a9575da0513328f44">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e1176b7da06b0b8b3f13a2ed85cc9aa0"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475F32-F8E7-411E-83F8-F30E1557F161}">
  <ds:schemaRefs>
    <ds:schemaRef ds:uri="http://schemas.microsoft.com/office/2006/metadata/properties"/>
    <ds:schemaRef ds:uri="http://schemas.microsoft.com/office/2006/documentManagement/types"/>
    <ds:schemaRef ds:uri="2f79260a-15aa-41aa-844a-7b88208b1564"/>
    <ds:schemaRef ds:uri="http://purl.org/dc/dcmitype/"/>
    <ds:schemaRef ds:uri="http://www.w3.org/XML/1998/namespace"/>
    <ds:schemaRef ds:uri="http://schemas.microsoft.com/office/infopath/2007/PartnerControls"/>
    <ds:schemaRef ds:uri="http://schemas.openxmlformats.org/package/2006/metadata/core-properties"/>
    <ds:schemaRef ds:uri="a02ff630-198f-4943-9e1e-f2ba6f6c8019"/>
    <ds:schemaRef ds:uri="http://purl.org/dc/terms/"/>
    <ds:schemaRef ds:uri="http://purl.org/dc/elements/1.1/"/>
  </ds:schemaRefs>
</ds:datastoreItem>
</file>

<file path=customXml/itemProps2.xml><?xml version="1.0" encoding="utf-8"?>
<ds:datastoreItem xmlns:ds="http://schemas.openxmlformats.org/officeDocument/2006/customXml" ds:itemID="{6E7E4C21-3C11-443E-94EE-F997179C897A}">
  <ds:schemaRefs>
    <ds:schemaRef ds:uri="http://schemas.microsoft.com/sharepoint/v3/contenttype/forms"/>
  </ds:schemaRefs>
</ds:datastoreItem>
</file>

<file path=customXml/itemProps3.xml><?xml version="1.0" encoding="utf-8"?>
<ds:datastoreItem xmlns:ds="http://schemas.openxmlformats.org/officeDocument/2006/customXml" ds:itemID="{356E24B8-47A6-4205-AB26-0C0CA1AB5B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2ff630-198f-4943-9e1e-f2ba6f6c8019"/>
    <ds:schemaRef ds:uri="2f79260a-15aa-41aa-844a-7b88208b1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Rekentool</vt:lpstr>
      <vt:lpstr>Rekentool (bulk)</vt:lpstr>
      <vt:lpstr>Match Loontabel</vt:lpstr>
      <vt:lpstr>Oude Loontabel</vt:lpstr>
      <vt:lpstr>Nieuwe Loontabel</vt:lpstr>
      <vt:lpstr>Rekentool!Afdrukbereik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Michelle Huisman | Tuinbranche Nederland</cp:lastModifiedBy>
  <cp:revision/>
  <dcterms:created xsi:type="dcterms:W3CDTF">2022-06-21T19:12:35Z</dcterms:created>
  <dcterms:modified xsi:type="dcterms:W3CDTF">2025-12-19T13:04:31Z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